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HEA-Alpha\Admin\Website\Calculators\"/>
    </mc:Choice>
  </mc:AlternateContent>
  <xr:revisionPtr revIDLastSave="0" documentId="8_{7C3D8752-D9F1-48ED-91BB-1CA47D356F08}" xr6:coauthVersionLast="47" xr6:coauthVersionMax="47" xr10:uidLastSave="{00000000-0000-0000-0000-000000000000}"/>
  <bookViews>
    <workbookView xWindow="-110" yWindow="-110" windowWidth="38620" windowHeight="21100" tabRatio="664" xr2:uid="{EE1C611F-95B3-4758-AE57-D98D9340137A}"/>
  </bookViews>
  <sheets>
    <sheet name="Cockpit" sheetId="11" r:id="rId1"/>
    <sheet name="Volume" sheetId="1" r:id="rId2"/>
    <sheet name="Pressure" sheetId="2" r:id="rId3"/>
    <sheet name="Density" sheetId="3" r:id="rId4"/>
    <sheet name="Weight" sheetId="4" r:id="rId5"/>
    <sheet name="Energy - O&amp;G" sheetId="5" r:id="rId6"/>
    <sheet name="Flowrate - Mass" sheetId="6" r:id="rId7"/>
    <sheet name="Flowrate - Volume" sheetId="7" r:id="rId8"/>
    <sheet name="Gas conversions" sheetId="8" r:id="rId9"/>
    <sheet name="Fluid Conversions" sheetId="9" r:id="rId10"/>
    <sheet name="Production Conversions" sheetId="10" r:id="rId11"/>
    <sheet name="Energy Conversions" sheetId="12" r:id="rId12"/>
    <sheet name="Prices - Energy to Energy" sheetId="13" r:id="rId13"/>
    <sheet name="Energy to Volume" sheetId="14" r:id="rId14"/>
    <sheet name="Volume to Energy" sheetId="15" r:id="rId15"/>
    <sheet name="Prices Energy to Volume" sheetId="16" r:id="rId16"/>
    <sheet name="Prices Volume to Energy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4" l="1"/>
  <c r="D5" i="13" l="1"/>
  <c r="F5" i="13"/>
  <c r="H5" i="13"/>
  <c r="J5" i="13"/>
  <c r="L5" i="13"/>
  <c r="D8" i="13"/>
  <c r="F8" i="13"/>
  <c r="H8" i="13"/>
  <c r="J8" i="13"/>
  <c r="L8" i="13"/>
  <c r="D11" i="13"/>
  <c r="F11" i="13"/>
  <c r="H11" i="13"/>
  <c r="J11" i="13"/>
  <c r="L11" i="13"/>
  <c r="D14" i="13"/>
  <c r="F14" i="13"/>
  <c r="H14" i="13"/>
  <c r="J14" i="13"/>
  <c r="L14" i="13"/>
  <c r="D17" i="13"/>
  <c r="F17" i="13"/>
  <c r="H17" i="13"/>
  <c r="J17" i="13"/>
  <c r="L17" i="13"/>
  <c r="D20" i="13"/>
  <c r="F20" i="13"/>
  <c r="H20" i="13"/>
  <c r="J20" i="13"/>
  <c r="L20" i="13"/>
  <c r="D23" i="17"/>
  <c r="D20" i="17"/>
  <c r="D17" i="17"/>
  <c r="D14" i="17"/>
  <c r="D11" i="17"/>
  <c r="D8" i="17"/>
  <c r="D5" i="17"/>
  <c r="D23" i="16"/>
  <c r="D20" i="16"/>
  <c r="D17" i="16"/>
  <c r="D14" i="16"/>
  <c r="D11" i="16"/>
  <c r="D8" i="16"/>
  <c r="D5" i="16"/>
  <c r="F11" i="15"/>
  <c r="J11" i="15" s="1"/>
  <c r="F14" i="15"/>
  <c r="J14" i="15" s="1"/>
  <c r="H11" i="15"/>
  <c r="D8" i="15"/>
  <c r="D5" i="15"/>
  <c r="L8" i="15"/>
  <c r="J8" i="15"/>
  <c r="J5" i="15"/>
  <c r="L5" i="15" s="1"/>
  <c r="F8" i="15"/>
  <c r="H8" i="15" s="1"/>
  <c r="F5" i="15"/>
  <c r="H5" i="15" s="1"/>
  <c r="H26" i="14"/>
  <c r="H23" i="14"/>
  <c r="F26" i="14"/>
  <c r="F23" i="14"/>
  <c r="F20" i="14"/>
  <c r="H20" i="14" s="1"/>
  <c r="D20" i="14"/>
  <c r="H8" i="14"/>
  <c r="F17" i="14"/>
  <c r="H17" i="14" s="1"/>
  <c r="F14" i="14"/>
  <c r="F11" i="14"/>
  <c r="H11" i="14" s="1"/>
  <c r="F5" i="14"/>
  <c r="H5" i="14" s="1"/>
  <c r="D26" i="14"/>
  <c r="D23" i="14"/>
  <c r="D14" i="14"/>
  <c r="D17" i="14"/>
  <c r="D11" i="14"/>
  <c r="D8" i="14"/>
  <c r="D5" i="14"/>
  <c r="H14" i="14"/>
  <c r="N23" i="12"/>
  <c r="L23" i="12"/>
  <c r="J23" i="12"/>
  <c r="H23" i="12"/>
  <c r="F23" i="12"/>
  <c r="D23" i="12"/>
  <c r="N20" i="12"/>
  <c r="L20" i="12"/>
  <c r="J20" i="12"/>
  <c r="H20" i="12"/>
  <c r="F20" i="12"/>
  <c r="D20" i="12"/>
  <c r="N17" i="12"/>
  <c r="L17" i="12"/>
  <c r="J17" i="12"/>
  <c r="H17" i="12"/>
  <c r="F17" i="12"/>
  <c r="D17" i="12"/>
  <c r="N14" i="12"/>
  <c r="L14" i="12"/>
  <c r="J14" i="12"/>
  <c r="H14" i="12"/>
  <c r="F14" i="12"/>
  <c r="D14" i="12"/>
  <c r="N11" i="12"/>
  <c r="L11" i="12"/>
  <c r="J11" i="12"/>
  <c r="H11" i="12"/>
  <c r="F11" i="12"/>
  <c r="D11" i="12"/>
  <c r="N8" i="12"/>
  <c r="L8" i="12"/>
  <c r="J8" i="12"/>
  <c r="H8" i="12"/>
  <c r="F8" i="12"/>
  <c r="D8" i="12"/>
  <c r="N5" i="12"/>
  <c r="J5" i="12"/>
  <c r="L5" i="12" s="1"/>
  <c r="H5" i="12"/>
  <c r="F5" i="12"/>
  <c r="J14" i="5"/>
  <c r="H14" i="5"/>
  <c r="F14" i="5"/>
  <c r="D14" i="5"/>
  <c r="L11" i="15" l="1"/>
  <c r="D11" i="15"/>
  <c r="L14" i="15"/>
  <c r="D14" i="15"/>
  <c r="H14" i="15"/>
  <c r="D11" i="4"/>
  <c r="F11" i="4"/>
  <c r="H11" i="4"/>
  <c r="J11" i="4"/>
  <c r="D14" i="4"/>
  <c r="F14" i="4"/>
  <c r="H14" i="4"/>
  <c r="J14" i="4"/>
  <c r="D17" i="4"/>
  <c r="F17" i="4"/>
  <c r="H17" i="4"/>
  <c r="J17" i="4"/>
  <c r="D31" i="10" l="1"/>
  <c r="D27" i="10"/>
  <c r="F23" i="10"/>
  <c r="D23" i="10"/>
  <c r="F20" i="10"/>
  <c r="D20" i="10"/>
  <c r="F17" i="10"/>
  <c r="D17" i="10"/>
  <c r="F12" i="10"/>
  <c r="D12" i="10"/>
  <c r="F9" i="10"/>
  <c r="D9" i="10"/>
  <c r="F6" i="10"/>
  <c r="D6" i="10"/>
  <c r="F23" i="9"/>
  <c r="D23" i="9"/>
  <c r="F20" i="9"/>
  <c r="D20" i="9"/>
  <c r="F17" i="9"/>
  <c r="D17" i="9"/>
  <c r="F12" i="9"/>
  <c r="D12" i="9"/>
  <c r="F9" i="9"/>
  <c r="D9" i="9"/>
  <c r="F6" i="9"/>
  <c r="D6" i="9"/>
  <c r="F22" i="8"/>
  <c r="D22" i="8"/>
  <c r="F19" i="8"/>
  <c r="D19" i="8"/>
  <c r="F16" i="8"/>
  <c r="D16" i="8"/>
  <c r="D10" i="8"/>
  <c r="D7" i="8"/>
  <c r="J18" i="7"/>
  <c r="H18" i="7"/>
  <c r="F18" i="7"/>
  <c r="D18" i="7"/>
  <c r="J15" i="7"/>
  <c r="H15" i="7"/>
  <c r="F15" i="7"/>
  <c r="D15" i="7"/>
  <c r="J12" i="7"/>
  <c r="H12" i="7"/>
  <c r="F12" i="7"/>
  <c r="D12" i="7"/>
  <c r="F9" i="7"/>
  <c r="H9" i="7"/>
  <c r="J9" i="7"/>
  <c r="D9" i="7"/>
  <c r="J6" i="7"/>
  <c r="H6" i="7"/>
  <c r="F6" i="7"/>
  <c r="D6" i="7"/>
  <c r="H15" i="6"/>
  <c r="F15" i="6"/>
  <c r="D15" i="6"/>
  <c r="H12" i="6"/>
  <c r="F12" i="6"/>
  <c r="D12" i="6"/>
  <c r="H9" i="6"/>
  <c r="F9" i="6"/>
  <c r="D9" i="6"/>
  <c r="H6" i="6"/>
  <c r="F6" i="6"/>
  <c r="D6" i="6"/>
  <c r="J17" i="5"/>
  <c r="H17" i="5"/>
  <c r="F17" i="5"/>
  <c r="D17" i="5"/>
  <c r="J11" i="5"/>
  <c r="H11" i="5"/>
  <c r="F11" i="5"/>
  <c r="D11" i="5"/>
  <c r="J8" i="5"/>
  <c r="H8" i="5"/>
  <c r="F8" i="5"/>
  <c r="D8" i="5"/>
  <c r="J5" i="5"/>
  <c r="H5" i="5"/>
  <c r="F5" i="5"/>
  <c r="D5" i="5"/>
  <c r="J8" i="4"/>
  <c r="H8" i="4"/>
  <c r="F8" i="4"/>
  <c r="D8" i="4"/>
  <c r="J5" i="4"/>
  <c r="H5" i="4"/>
  <c r="F5" i="4"/>
  <c r="D5" i="4"/>
  <c r="H15" i="3"/>
  <c r="F15" i="3"/>
  <c r="D15" i="3"/>
  <c r="D12" i="3"/>
  <c r="F12" i="3"/>
  <c r="H12" i="3"/>
  <c r="H9" i="3"/>
  <c r="F9" i="3"/>
  <c r="D9" i="3"/>
  <c r="H6" i="3"/>
  <c r="F6" i="3"/>
  <c r="D6" i="3"/>
  <c r="N23" i="2"/>
  <c r="L23" i="2"/>
  <c r="J23" i="2"/>
  <c r="H23" i="2"/>
  <c r="F23" i="2"/>
  <c r="N20" i="2"/>
  <c r="L20" i="2"/>
  <c r="J20" i="2"/>
  <c r="H20" i="2"/>
  <c r="F20" i="2"/>
  <c r="D23" i="2"/>
  <c r="D20" i="2"/>
  <c r="N17" i="2"/>
  <c r="J17" i="2"/>
  <c r="H17" i="2"/>
  <c r="F17" i="2"/>
  <c r="D17" i="2"/>
  <c r="L17" i="2" s="1"/>
  <c r="J14" i="2"/>
  <c r="H14" i="2"/>
  <c r="F14" i="2"/>
  <c r="N14" i="2" s="1"/>
  <c r="D14" i="2"/>
  <c r="L14" i="2" s="1"/>
  <c r="J11" i="2"/>
  <c r="H11" i="2"/>
  <c r="F11" i="2"/>
  <c r="N11" i="2" s="1"/>
  <c r="D11" i="2"/>
  <c r="L11" i="2" s="1"/>
  <c r="J8" i="2"/>
  <c r="H8" i="2"/>
  <c r="F8" i="2"/>
  <c r="N8" i="2" s="1"/>
  <c r="D8" i="2"/>
  <c r="L8" i="2" s="1"/>
  <c r="J5" i="2"/>
  <c r="H5" i="2"/>
  <c r="F5" i="2"/>
  <c r="N5" i="2" s="1"/>
  <c r="D5" i="2"/>
  <c r="L5" i="2" s="1"/>
  <c r="D10" i="1"/>
  <c r="J19" i="1"/>
  <c r="H19" i="1"/>
  <c r="F19" i="1"/>
  <c r="D19" i="1"/>
  <c r="J16" i="1"/>
  <c r="H16" i="1"/>
  <c r="F16" i="1"/>
  <c r="D16" i="1"/>
  <c r="J13" i="1"/>
  <c r="H13" i="1"/>
  <c r="F13" i="1"/>
  <c r="D7" i="1"/>
  <c r="D13" i="1"/>
  <c r="J10" i="1"/>
  <c r="H10" i="1"/>
  <c r="F10" i="1"/>
  <c r="J7" i="1"/>
  <c r="H7" i="1"/>
  <c r="F7" i="1"/>
</calcChain>
</file>

<file path=xl/sharedStrings.xml><?xml version="1.0" encoding="utf-8"?>
<sst xmlns="http://schemas.openxmlformats.org/spreadsheetml/2006/main" count="446" uniqueCount="112">
  <si>
    <t>BBL</t>
  </si>
  <si>
    <t>Cubic foot (ft3)</t>
  </si>
  <si>
    <t>Cubic centimeter (cm3)</t>
  </si>
  <si>
    <t>Imperial UK Gallon</t>
  </si>
  <si>
    <t>Bar</t>
  </si>
  <si>
    <t>kPa</t>
  </si>
  <si>
    <t>Atmosphere (Atm)</t>
  </si>
  <si>
    <t>Pound per square inch (psi)</t>
  </si>
  <si>
    <t>Pound per square foot (psf)</t>
  </si>
  <si>
    <t>Newton per square cm2 (N/cm2)</t>
  </si>
  <si>
    <t>Kilogram per square cm2 (kg/cm2)</t>
  </si>
  <si>
    <t>Kilogram per Cubic centimeter (kg/cm3)</t>
  </si>
  <si>
    <t>Pound per Cubic Foot (lb/ft3)</t>
  </si>
  <si>
    <t>Pound per Cubic inch (lb/in3)</t>
  </si>
  <si>
    <t>Pound per US Gallon (lb/gal)</t>
  </si>
  <si>
    <t>Kilogram (kg)</t>
  </si>
  <si>
    <t>Pound (lb)</t>
  </si>
  <si>
    <t>Metric Ton (mt)</t>
  </si>
  <si>
    <t>Troy Ounce (toz)</t>
  </si>
  <si>
    <t>Ounce (oz)</t>
  </si>
  <si>
    <t>Barrel of Oil Equivalent (BoE)</t>
  </si>
  <si>
    <t>British Thermal Units (BTU)</t>
  </si>
  <si>
    <t>Cubic Feet of Natural Gas (ft3)</t>
  </si>
  <si>
    <t>Foot Pound (ft-lb)</t>
  </si>
  <si>
    <t>KiloWatt Hour (Kw - hr)</t>
  </si>
  <si>
    <t>Kilogram per Day (kg/day)</t>
  </si>
  <si>
    <t>Pound per Day (lb/day)</t>
  </si>
  <si>
    <t>Kilogram per minute (kg/min)</t>
  </si>
  <si>
    <t>Pound per minute (lb/min)</t>
  </si>
  <si>
    <t>Barrels per Day (BPD)</t>
  </si>
  <si>
    <t>Cubic Feet per Day (ft3/day)</t>
  </si>
  <si>
    <t>Cubic Feet per Hour (ft3/hr)</t>
  </si>
  <si>
    <t>Gallon per Day (gal/day)</t>
  </si>
  <si>
    <t>Gallon per hour (gal/hr)</t>
  </si>
  <si>
    <t>Barrel of Oil Equiavelnt (BoE)</t>
  </si>
  <si>
    <t>Million Standard Cubic Feet (MMscf)</t>
  </si>
  <si>
    <t>Ton Liquefied Natural Gas (ton LNG)</t>
  </si>
  <si>
    <t>US Gallon (gal)</t>
  </si>
  <si>
    <t>Dyne per square Centimetre (dyne/cm2)</t>
  </si>
  <si>
    <t>KiloPascal (kPa)</t>
  </si>
  <si>
    <t>Pound per Force 100 sq feet (lbf/100 ft2)</t>
  </si>
  <si>
    <t>Centipoise (cP)</t>
  </si>
  <si>
    <t>Pound force-sec per sq Foot (lbf-s/ft2)</t>
  </si>
  <si>
    <t>Pound per Foot hour (lb/ft-hr)</t>
  </si>
  <si>
    <t>Barrel per Day-Pounds per sq Inch (bbl/d-psi)</t>
  </si>
  <si>
    <t>Cubic Feet per Day-Pounds per sq Inch (ft3/d-psi)</t>
  </si>
  <si>
    <t>Gallons per Day-Pounds per sq Inch (gal/d-psi)</t>
  </si>
  <si>
    <t>Barrel per stroke (bbl/stk)</t>
  </si>
  <si>
    <t>Cubic metre per stroke (m3/stk)</t>
  </si>
  <si>
    <t>Gallon per stroke (gal/stk)</t>
  </si>
  <si>
    <t>Barrel per feet (bbl/ft)</t>
  </si>
  <si>
    <t>Cubic metre per metre (m3/m)</t>
  </si>
  <si>
    <t xml:space="preserve"> 100 Foot Pound (ft-lb)</t>
  </si>
  <si>
    <t xml:space="preserve">Barrel of Oil Equivalent (BoE) </t>
  </si>
  <si>
    <t>Cubic metre per day (m3/day)</t>
  </si>
  <si>
    <t>Standard Cubic Feet per day(ft3/day)</t>
  </si>
  <si>
    <t>Standard Cubic Feet per day (ft3/day)</t>
  </si>
  <si>
    <t>Cubic metre per min (m3/day)</t>
  </si>
  <si>
    <t>TJ</t>
  </si>
  <si>
    <t>GJ</t>
  </si>
  <si>
    <t>00s MJ</t>
  </si>
  <si>
    <t>kwh</t>
  </si>
  <si>
    <t>Mwh</t>
  </si>
  <si>
    <t>Gwh</t>
  </si>
  <si>
    <t>Therms</t>
  </si>
  <si>
    <t xml:space="preserve"> </t>
  </si>
  <si>
    <t>Pence per therm</t>
  </si>
  <si>
    <t>pence per 00 MJ</t>
  </si>
  <si>
    <t>pence per Kwh</t>
  </si>
  <si>
    <t>£ per Gwh</t>
  </si>
  <si>
    <t>£ per TJ</t>
  </si>
  <si>
    <t>£ per GJ</t>
  </si>
  <si>
    <t>Pence per 00 MJ</t>
  </si>
  <si>
    <t>Pence per Kwh</t>
  </si>
  <si>
    <t>CV for calculations</t>
  </si>
  <si>
    <t>MJ/cu.m</t>
  </si>
  <si>
    <t>MJ</t>
  </si>
  <si>
    <t>Kwh</t>
  </si>
  <si>
    <t>MM Therms</t>
  </si>
  <si>
    <t>Cubic Meter</t>
  </si>
  <si>
    <t>MCM</t>
  </si>
  <si>
    <t>MCF</t>
  </si>
  <si>
    <t>Imperial Equivalent</t>
  </si>
  <si>
    <t>btu/cf</t>
  </si>
  <si>
    <t>MM Cubic Feet</t>
  </si>
  <si>
    <t>Cubic Feet</t>
  </si>
  <si>
    <t>MM Cubic meter</t>
  </si>
  <si>
    <t>Cubic meter</t>
  </si>
  <si>
    <t>£ per Kwh</t>
  </si>
  <si>
    <t>£ per 00 MJ</t>
  </si>
  <si>
    <t>Pence per Cubic Meter</t>
  </si>
  <si>
    <t>Pence per Cu. Meter</t>
  </si>
  <si>
    <t>Pence per Therm</t>
  </si>
  <si>
    <t>Volume</t>
  </si>
  <si>
    <t>Pressure</t>
  </si>
  <si>
    <t>Weight</t>
  </si>
  <si>
    <t>Gas conversions</t>
  </si>
  <si>
    <t>Energy Conversions</t>
  </si>
  <si>
    <t>Energy - O&amp;G</t>
  </si>
  <si>
    <t>Fluid Conversions</t>
  </si>
  <si>
    <t>Prices - Energy to Energy</t>
  </si>
  <si>
    <t>Density</t>
  </si>
  <si>
    <t>Flowrate - Mass</t>
  </si>
  <si>
    <t>Production Conversions</t>
  </si>
  <si>
    <t>Energy to Volume</t>
  </si>
  <si>
    <t>errors or ommissions.</t>
  </si>
  <si>
    <t xml:space="preserve">Holt Energy Advisors Ltd provides these calclations on the basis that to the best of its knowledge
</t>
  </si>
  <si>
    <t xml:space="preserve">calculations and cannot be held liable for any third-party claims or losses of any damages for any </t>
  </si>
  <si>
    <t xml:space="preserve"> they are true, accurate and complete, however shall have no liability for the accuracy of the </t>
  </si>
  <si>
    <t>CV Unit Conversion</t>
  </si>
  <si>
    <t>HOME</t>
  </si>
  <si>
    <t>Last Updated: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</si>
</sst>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"/>
    <numFmt numFmtId="166" formatCode="#,##0.000"/>
    <numFmt numFmtId="167" formatCode="#,##0.0"/>
    <numFmt numFmtId="168" formatCode="#,##0.0000"/>
    <numFmt numFmtId="169" formatCode="#,##0.000000"/>
    <numFmt numFmtId="170" formatCode="#,##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theme="0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sz val="10"/>
      <color theme="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b/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b/>
      <sz val="16"/>
      <color theme="1"/>
      <name val="Arial"/>
      <family val="2"/>
      <charset val="161"/>
    </font>
    <font>
      <sz val="14"/>
      <color theme="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14C38"/>
        <bgColor indexed="64"/>
      </patternFill>
    </fill>
    <fill>
      <patternFill patternType="solid">
        <fgColor rgb="FF14495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167" fontId="8" fillId="0" borderId="0" xfId="0" applyNumberFormat="1" applyFont="1"/>
    <xf numFmtId="167" fontId="8" fillId="7" borderId="0" xfId="0" applyNumberFormat="1" applyFont="1" applyFill="1" applyAlignment="1">
      <alignment horizontal="center" vertical="center"/>
    </xf>
    <xf numFmtId="167" fontId="8" fillId="6" borderId="0" xfId="0" applyNumberFormat="1" applyFont="1" applyFill="1" applyAlignment="1">
      <alignment horizontal="center" vertical="center"/>
    </xf>
    <xf numFmtId="167" fontId="8" fillId="6" borderId="2" xfId="4" applyNumberFormat="1" applyFont="1" applyFill="1" applyAlignment="1">
      <alignment horizontal="center" vertical="center"/>
    </xf>
    <xf numFmtId="167" fontId="8" fillId="6" borderId="0" xfId="5" applyNumberFormat="1" applyFont="1" applyFill="1" applyAlignment="1">
      <alignment horizontal="center" vertical="center"/>
    </xf>
    <xf numFmtId="167" fontId="8" fillId="6" borderId="0" xfId="0" applyNumberFormat="1" applyFont="1" applyFill="1"/>
    <xf numFmtId="0" fontId="11" fillId="0" borderId="0" xfId="0" applyFont="1"/>
    <xf numFmtId="0" fontId="10" fillId="0" borderId="0" xfId="0" applyFont="1"/>
    <xf numFmtId="0" fontId="8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67" fontId="11" fillId="0" borderId="0" xfId="0" applyNumberFormat="1" applyFont="1"/>
    <xf numFmtId="167" fontId="8" fillId="0" borderId="0" xfId="0" applyNumberFormat="1" applyFont="1" applyAlignment="1">
      <alignment horizontal="center" vertical="center"/>
    </xf>
    <xf numFmtId="167" fontId="9" fillId="6" borderId="0" xfId="0" applyNumberFormat="1" applyFont="1" applyFill="1" applyAlignment="1">
      <alignment horizontal="center" vertical="center"/>
    </xf>
    <xf numFmtId="167" fontId="10" fillId="0" borderId="0" xfId="0" applyNumberFormat="1" applyFont="1"/>
    <xf numFmtId="167" fontId="13" fillId="6" borderId="0" xfId="0" applyNumberFormat="1" applyFont="1" applyFill="1" applyAlignment="1">
      <alignment horizontal="center" vertical="center"/>
    </xf>
    <xf numFmtId="167" fontId="14" fillId="6" borderId="0" xfId="5" applyNumberFormat="1" applyFont="1" applyFill="1" applyAlignment="1">
      <alignment horizontal="center" vertical="center"/>
    </xf>
    <xf numFmtId="167" fontId="14" fillId="6" borderId="0" xfId="0" applyNumberFormat="1" applyFont="1" applyFill="1" applyAlignment="1">
      <alignment horizontal="center" vertical="center"/>
    </xf>
    <xf numFmtId="167" fontId="14" fillId="6" borderId="2" xfId="4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164" fontId="8" fillId="6" borderId="2" xfId="4" applyNumberFormat="1" applyFont="1" applyFill="1" applyAlignment="1">
      <alignment horizontal="center" vertical="center"/>
    </xf>
    <xf numFmtId="165" fontId="8" fillId="6" borderId="2" xfId="4" applyNumberFormat="1" applyFont="1" applyFill="1" applyAlignment="1">
      <alignment horizontal="center" vertical="center"/>
    </xf>
    <xf numFmtId="165" fontId="8" fillId="6" borderId="0" xfId="5" applyNumberFormat="1" applyFont="1" applyFill="1" applyAlignment="1">
      <alignment horizontal="center" vertical="center"/>
    </xf>
    <xf numFmtId="164" fontId="8" fillId="6" borderId="0" xfId="5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10" fillId="6" borderId="0" xfId="0" applyNumberFormat="1" applyFont="1" applyFill="1" applyAlignment="1">
      <alignment horizontal="center" vertical="center"/>
    </xf>
    <xf numFmtId="167" fontId="8" fillId="6" borderId="0" xfId="1" applyNumberFormat="1" applyFont="1" applyFill="1" applyAlignment="1">
      <alignment horizontal="center" vertical="center"/>
    </xf>
    <xf numFmtId="167" fontId="15" fillId="6" borderId="2" xfId="4" applyNumberFormat="1" applyFont="1" applyFill="1" applyAlignment="1">
      <alignment horizontal="center" vertical="center"/>
    </xf>
    <xf numFmtId="3" fontId="15" fillId="6" borderId="2" xfId="4" applyNumberFormat="1" applyFont="1" applyFill="1" applyAlignment="1">
      <alignment horizontal="center" vertical="center"/>
    </xf>
    <xf numFmtId="3" fontId="15" fillId="6" borderId="0" xfId="5" applyNumberFormat="1" applyFont="1" applyFill="1" applyAlignment="1">
      <alignment horizontal="center" vertical="center"/>
    </xf>
    <xf numFmtId="167" fontId="15" fillId="6" borderId="0" xfId="5" applyNumberFormat="1" applyFont="1" applyFill="1" applyAlignment="1">
      <alignment horizontal="center" vertical="center"/>
    </xf>
    <xf numFmtId="3" fontId="8" fillId="6" borderId="2" xfId="4" applyNumberFormat="1" applyFont="1" applyFill="1" applyAlignment="1">
      <alignment horizontal="center" vertical="center"/>
    </xf>
    <xf numFmtId="166" fontId="8" fillId="6" borderId="2" xfId="4" applyNumberFormat="1" applyFont="1" applyFill="1" applyAlignment="1">
      <alignment horizontal="center" vertical="center"/>
    </xf>
    <xf numFmtId="170" fontId="8" fillId="6" borderId="2" xfId="4" applyNumberFormat="1" applyFont="1" applyFill="1" applyAlignment="1">
      <alignment horizontal="center" vertical="center"/>
    </xf>
    <xf numFmtId="168" fontId="8" fillId="6" borderId="0" xfId="5" applyNumberFormat="1" applyFont="1" applyFill="1" applyAlignment="1">
      <alignment horizontal="center" vertical="center"/>
    </xf>
    <xf numFmtId="3" fontId="8" fillId="6" borderId="0" xfId="5" applyNumberFormat="1" applyFont="1" applyFill="1" applyAlignment="1">
      <alignment horizontal="center" vertical="center"/>
    </xf>
    <xf numFmtId="166" fontId="8" fillId="6" borderId="0" xfId="5" applyNumberFormat="1" applyFont="1" applyFill="1" applyAlignment="1">
      <alignment horizontal="center" vertical="center"/>
    </xf>
    <xf numFmtId="170" fontId="8" fillId="6" borderId="0" xfId="5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168" fontId="8" fillId="6" borderId="2" xfId="4" applyNumberFormat="1" applyFont="1" applyFill="1" applyAlignment="1">
      <alignment horizontal="center" vertical="center"/>
    </xf>
    <xf numFmtId="169" fontId="8" fillId="6" borderId="2" xfId="4" applyNumberFormat="1" applyFont="1" applyFill="1" applyAlignment="1">
      <alignment horizontal="center" vertical="center"/>
    </xf>
    <xf numFmtId="4" fontId="8" fillId="6" borderId="2" xfId="4" applyNumberFormat="1" applyFont="1" applyFill="1" applyAlignment="1">
      <alignment horizontal="center" vertical="center"/>
    </xf>
    <xf numFmtId="169" fontId="8" fillId="6" borderId="0" xfId="5" applyNumberFormat="1" applyFont="1" applyFill="1" applyAlignment="1">
      <alignment horizontal="center" vertical="center"/>
    </xf>
    <xf numFmtId="4" fontId="8" fillId="6" borderId="0" xfId="5" applyNumberFormat="1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6" fillId="6" borderId="0" xfId="0" applyNumberFormat="1" applyFont="1" applyFill="1" applyAlignment="1">
      <alignment horizontal="center" vertical="center"/>
    </xf>
    <xf numFmtId="169" fontId="15" fillId="6" borderId="2" xfId="4" applyNumberFormat="1" applyFont="1" applyFill="1" applyAlignment="1">
      <alignment horizontal="center" vertical="center"/>
    </xf>
    <xf numFmtId="169" fontId="15" fillId="6" borderId="0" xfId="5" applyNumberFormat="1" applyFont="1" applyFill="1" applyAlignment="1">
      <alignment horizontal="center" vertical="center"/>
    </xf>
    <xf numFmtId="0" fontId="0" fillId="9" borderId="0" xfId="0" applyFill="1"/>
    <xf numFmtId="0" fontId="22" fillId="9" borderId="0" xfId="0" applyFont="1" applyFill="1"/>
    <xf numFmtId="0" fontId="23" fillId="9" borderId="0" xfId="0" applyFont="1" applyFill="1"/>
    <xf numFmtId="0" fontId="24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5" fillId="9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9" fillId="10" borderId="1" xfId="3" applyFont="1" applyFill="1" applyAlignment="1">
      <alignment horizontal="center" vertical="center"/>
    </xf>
    <xf numFmtId="0" fontId="9" fillId="11" borderId="1" xfId="3" applyFont="1" applyFill="1" applyAlignment="1">
      <alignment horizontal="center" vertical="center"/>
    </xf>
    <xf numFmtId="0" fontId="10" fillId="9" borderId="0" xfId="0" applyFont="1" applyFill="1"/>
    <xf numFmtId="0" fontId="8" fillId="9" borderId="0" xfId="0" applyFont="1" applyFill="1" applyAlignment="1">
      <alignment horizontal="center" vertical="center"/>
    </xf>
    <xf numFmtId="9" fontId="8" fillId="9" borderId="0" xfId="1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167" fontId="8" fillId="9" borderId="0" xfId="0" applyNumberFormat="1" applyFont="1" applyFill="1"/>
    <xf numFmtId="167" fontId="8" fillId="9" borderId="0" xfId="0" applyNumberFormat="1" applyFont="1" applyFill="1" applyAlignment="1">
      <alignment horizontal="center" vertical="center"/>
    </xf>
    <xf numFmtId="167" fontId="8" fillId="9" borderId="0" xfId="1" applyNumberFormat="1" applyFont="1" applyFill="1" applyAlignment="1">
      <alignment horizontal="center" vertical="center"/>
    </xf>
    <xf numFmtId="167" fontId="9" fillId="10" borderId="1" xfId="3" applyNumberFormat="1" applyFont="1" applyFill="1" applyAlignment="1">
      <alignment horizontal="center" vertical="center"/>
    </xf>
    <xf numFmtId="167" fontId="9" fillId="11" borderId="1" xfId="3" applyNumberFormat="1" applyFont="1" applyFill="1" applyAlignment="1">
      <alignment horizontal="center" vertical="center"/>
    </xf>
    <xf numFmtId="167" fontId="11" fillId="9" borderId="0" xfId="0" applyNumberFormat="1" applyFont="1" applyFill="1"/>
    <xf numFmtId="167" fontId="8" fillId="9" borderId="0" xfId="3" applyNumberFormat="1" applyFont="1" applyFill="1" applyBorder="1" applyAlignment="1">
      <alignment horizontal="center" vertical="center"/>
    </xf>
    <xf numFmtId="167" fontId="8" fillId="9" borderId="0" xfId="4" applyNumberFormat="1" applyFont="1" applyFill="1" applyBorder="1" applyAlignment="1">
      <alignment horizontal="center" vertical="center"/>
    </xf>
    <xf numFmtId="167" fontId="8" fillId="9" borderId="0" xfId="5" applyNumberFormat="1" applyFont="1" applyFill="1" applyBorder="1" applyAlignment="1">
      <alignment horizontal="center" vertical="center"/>
    </xf>
    <xf numFmtId="167" fontId="10" fillId="9" borderId="0" xfId="0" applyNumberFormat="1" applyFont="1" applyFill="1" applyAlignment="1">
      <alignment horizontal="center" vertical="center"/>
    </xf>
    <xf numFmtId="167" fontId="12" fillId="9" borderId="0" xfId="0" applyNumberFormat="1" applyFont="1" applyFill="1" applyAlignment="1">
      <alignment horizontal="center" vertical="center"/>
    </xf>
    <xf numFmtId="167" fontId="9" fillId="9" borderId="0" xfId="0" applyNumberFormat="1" applyFont="1" applyFill="1" applyAlignment="1">
      <alignment horizontal="center" vertical="center"/>
    </xf>
    <xf numFmtId="167" fontId="9" fillId="9" borderId="0" xfId="1" applyNumberFormat="1" applyFont="1" applyFill="1" applyAlignment="1">
      <alignment horizontal="center" vertical="center"/>
    </xf>
    <xf numFmtId="167" fontId="7" fillId="10" borderId="1" xfId="2" applyNumberFormat="1" applyFont="1" applyFill="1" applyBorder="1" applyAlignment="1">
      <alignment horizontal="center" vertical="center"/>
    </xf>
    <xf numFmtId="167" fontId="10" fillId="9" borderId="0" xfId="0" applyNumberFormat="1" applyFont="1" applyFill="1"/>
    <xf numFmtId="0" fontId="11" fillId="9" borderId="0" xfId="0" applyFont="1" applyFill="1"/>
    <xf numFmtId="167" fontId="9" fillId="10" borderId="1" xfId="1" applyNumberFormat="1" applyFont="1" applyFill="1" applyBorder="1" applyAlignment="1">
      <alignment horizontal="center" vertical="center"/>
    </xf>
    <xf numFmtId="4" fontId="9" fillId="10" borderId="1" xfId="3" applyNumberFormat="1" applyFont="1" applyFill="1" applyAlignment="1">
      <alignment horizontal="center" vertical="center"/>
    </xf>
    <xf numFmtId="4" fontId="9" fillId="11" borderId="1" xfId="3" applyNumberFormat="1" applyFont="1" applyFill="1" applyAlignment="1">
      <alignment horizontal="center" vertical="center"/>
    </xf>
    <xf numFmtId="4" fontId="8" fillId="9" borderId="0" xfId="0" applyNumberFormat="1" applyFont="1" applyFill="1" applyAlignment="1">
      <alignment horizontal="center" vertical="center"/>
    </xf>
    <xf numFmtId="4" fontId="10" fillId="9" borderId="0" xfId="0" applyNumberFormat="1" applyFont="1" applyFill="1" applyAlignment="1">
      <alignment horizontal="center" vertical="center"/>
    </xf>
    <xf numFmtId="4" fontId="8" fillId="9" borderId="0" xfId="1" applyNumberFormat="1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4" fontId="7" fillId="10" borderId="1" xfId="3" applyNumberFormat="1" applyFont="1" applyFill="1" applyAlignment="1">
      <alignment horizontal="center" vertical="center"/>
    </xf>
    <xf numFmtId="4" fontId="7" fillId="11" borderId="1" xfId="3" applyNumberFormat="1" applyFont="1" applyFill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4" fontId="15" fillId="9" borderId="0" xfId="0" applyNumberFormat="1" applyFont="1" applyFill="1" applyAlignment="1">
      <alignment horizontal="center" vertical="center"/>
    </xf>
    <xf numFmtId="4" fontId="11" fillId="9" borderId="0" xfId="0" applyNumberFormat="1" applyFont="1" applyFill="1" applyAlignment="1">
      <alignment horizontal="center" vertical="center"/>
    </xf>
    <xf numFmtId="4" fontId="15" fillId="9" borderId="0" xfId="1" applyNumberFormat="1" applyFont="1" applyFill="1" applyAlignment="1">
      <alignment horizontal="center" vertical="center"/>
    </xf>
    <xf numFmtId="168" fontId="8" fillId="9" borderId="0" xfId="0" applyNumberFormat="1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7" fillId="12" borderId="4" xfId="3" applyFont="1" applyFill="1" applyBorder="1" applyAlignment="1">
      <alignment horizontal="center" vertical="center"/>
    </xf>
    <xf numFmtId="0" fontId="7" fillId="12" borderId="5" xfId="6" applyFont="1" applyFill="1" applyBorder="1" applyAlignment="1">
      <alignment horizontal="center" vertical="center"/>
    </xf>
    <xf numFmtId="0" fontId="7" fillId="12" borderId="6" xfId="6" applyFont="1" applyFill="1" applyBorder="1" applyAlignment="1">
      <alignment horizontal="center" vertical="center"/>
    </xf>
    <xf numFmtId="0" fontId="7" fillId="12" borderId="7" xfId="6" applyFont="1" applyFill="1" applyBorder="1" applyAlignment="1">
      <alignment horizontal="center" vertical="center"/>
    </xf>
    <xf numFmtId="0" fontId="7" fillId="12" borderId="3" xfId="6" quotePrefix="1" applyFont="1" applyFill="1" applyBorder="1" applyAlignment="1">
      <alignment horizontal="center" vertical="center"/>
    </xf>
    <xf numFmtId="0" fontId="7" fillId="12" borderId="8" xfId="6" quotePrefix="1" applyFont="1" applyFill="1" applyBorder="1" applyAlignment="1">
      <alignment horizontal="center" vertical="center"/>
    </xf>
    <xf numFmtId="0" fontId="7" fillId="12" borderId="7" xfId="6" quotePrefix="1" applyFont="1" applyFill="1" applyBorder="1" applyAlignment="1">
      <alignment horizontal="center" vertical="center"/>
    </xf>
    <xf numFmtId="2" fontId="19" fillId="6" borderId="0" xfId="0" applyNumberFormat="1" applyFont="1" applyFill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7" fillId="9" borderId="0" xfId="6" quotePrefix="1" applyFont="1" applyFill="1" applyBorder="1" applyAlignment="1">
      <alignment horizontal="center" vertical="center"/>
    </xf>
    <xf numFmtId="0" fontId="7" fillId="14" borderId="3" xfId="6" quotePrefix="1" applyFont="1" applyFill="1" applyBorder="1" applyAlignment="1">
      <alignment horizontal="center" vertical="center"/>
    </xf>
    <xf numFmtId="0" fontId="7" fillId="14" borderId="8" xfId="6" quotePrefix="1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/>
    </xf>
    <xf numFmtId="0" fontId="27" fillId="15" borderId="0" xfId="6" applyFont="1" applyFill="1" applyAlignment="1">
      <alignment horizontal="center"/>
    </xf>
    <xf numFmtId="0" fontId="27" fillId="15" borderId="0" xfId="6" applyFont="1" applyFill="1" applyAlignment="1">
      <alignment horizontal="center" vertical="center"/>
    </xf>
  </cellXfs>
  <cellStyles count="7">
    <cellStyle name="20% - Accent5" xfId="5" builtinId="46"/>
    <cellStyle name="Good" xfId="2" builtinId="26"/>
    <cellStyle name="Hyperlink" xfId="6" builtinId="8"/>
    <cellStyle name="Input" xfId="3" builtinId="20"/>
    <cellStyle name="Normal" xfId="0" builtinId="0"/>
    <cellStyle name="Output" xfId="4" builtinId="21"/>
    <cellStyle name="Percent" xfId="1" builtinId="5"/>
  </cellStyles>
  <dxfs count="0"/>
  <tableStyles count="0" defaultTableStyle="TableStyleMedium2" defaultPivotStyle="PivotStyleLight16"/>
  <colors>
    <mruColors>
      <color rgb="FFF14C38"/>
      <color rgb="FF144955"/>
      <color rgb="FF043562"/>
      <color rgb="FF000066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935267</xdr:colOff>
      <xdr:row>6</xdr:row>
      <xdr:rowOff>138430</xdr:rowOff>
    </xdr:from>
    <xdr:to>
      <xdr:col>7</xdr:col>
      <xdr:colOff>955041</xdr:colOff>
      <xdr:row>12</xdr:row>
      <xdr:rowOff>260895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5267" y="1408430"/>
          <a:ext cx="4699724" cy="2027465"/>
        </a:xfrm>
        <a:prstGeom prst="rect">
          <a:avLst/>
        </a:prstGeom>
        <a:solidFill>
          <a:srgbClr val="144955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200" b="1" i="1">
              <a:solidFill>
                <a:schemeClr val="accent4">
                  <a:lumMod val="60000"/>
                  <a:lumOff val="40000"/>
                </a:schemeClr>
              </a:solidFill>
            </a:rPr>
            <a:t>Welcome to</a:t>
          </a:r>
          <a:r>
            <a:rPr lang="en-US" sz="1200" b="1" i="1" baseline="0">
              <a:solidFill>
                <a:schemeClr val="accent4">
                  <a:lumMod val="60000"/>
                  <a:lumOff val="40000"/>
                </a:schemeClr>
              </a:solidFill>
            </a:rPr>
            <a:t> the Conversion Calculator </a:t>
          </a:r>
        </a:p>
        <a:p>
          <a:pPr algn="ctr"/>
          <a:endParaRPr lang="en-US" sz="1200" b="1" i="1" baseline="0">
            <a:solidFill>
              <a:schemeClr val="bg1"/>
            </a:solidFill>
          </a:endParaRPr>
        </a:p>
        <a:p>
          <a:pPr lvl="0" algn="ctr"/>
          <a:r>
            <a:rPr lang="en-US" sz="1200" b="1" i="1" u="sng" baseline="0">
              <a:solidFill>
                <a:schemeClr val="bg1"/>
              </a:solidFill>
            </a:rPr>
            <a:t>Instructions:</a:t>
          </a:r>
        </a:p>
        <a:p>
          <a:pPr algn="ctr"/>
          <a:r>
            <a:rPr lang="en-US" sz="1200" b="1" i="1" baseline="0">
              <a:solidFill>
                <a:schemeClr val="bg1"/>
              </a:solidFill>
            </a:rPr>
            <a:t>Provide the desired value under the blue boxes at the left side of every worksheet and read across its equivalent value under the green boxes.</a:t>
          </a:r>
        </a:p>
        <a:p>
          <a:pPr algn="ctr"/>
          <a:endParaRPr lang="en-US" sz="1200" b="1" i="1" baseline="0">
            <a:solidFill>
              <a:schemeClr val="bg1"/>
            </a:solidFill>
          </a:endParaRPr>
        </a:p>
        <a:p>
          <a:pPr algn="ctr"/>
          <a:r>
            <a:rPr lang="en-US" sz="1200" b="1" i="1" baseline="0">
              <a:solidFill>
                <a:schemeClr val="bg1"/>
              </a:solidFill>
            </a:rPr>
            <a:t>You can navigate through the worksheets by clicking on the desired calculator inside the Table of Contents provided on the right.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</xdr:txBody>
    </xdr:sp>
    <xdr:clientData/>
  </xdr:twoCellAnchor>
  <xdr:oneCellAnchor>
    <xdr:from>
      <xdr:col>9</xdr:col>
      <xdr:colOff>3809</xdr:colOff>
      <xdr:row>6</xdr:row>
      <xdr:rowOff>49933</xdr:rowOff>
    </xdr:from>
    <xdr:ext cx="5984241" cy="2988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09459" y="1319933"/>
          <a:ext cx="5984241" cy="298800"/>
        </a:xfrm>
        <a:prstGeom prst="rect">
          <a:avLst/>
        </a:prstGeom>
        <a:solidFill>
          <a:srgbClr val="144955"/>
        </a:solidFill>
        <a:ln w="127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 i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OF CONTENTS</a:t>
          </a:r>
        </a:p>
      </xdr:txBody>
    </xdr:sp>
    <xdr:clientData/>
  </xdr:oneCellAnchor>
  <xdr:twoCellAnchor editAs="oneCell">
    <xdr:from>
      <xdr:col>0</xdr:col>
      <xdr:colOff>939800</xdr:colOff>
      <xdr:row>0</xdr:row>
      <xdr:rowOff>133350</xdr:rowOff>
    </xdr:from>
    <xdr:to>
      <xdr:col>7</xdr:col>
      <xdr:colOff>946150</xdr:colOff>
      <xdr:row>6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8A63FE-1D3C-EFEF-8F7E-A468687FE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33350"/>
          <a:ext cx="4686300" cy="127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201385</xdr:colOff>
      <xdr:row>6</xdr:row>
      <xdr:rowOff>81642</xdr:rowOff>
    </xdr:from>
    <xdr:ext cx="2356757" cy="7511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8190955" y="1087482"/>
          <a:ext cx="2356757" cy="751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Section 1 is provided for Fluid Yield</a:t>
          </a:r>
          <a:r>
            <a:rPr lang="en-US" sz="12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Point</a:t>
          </a:r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conversions</a:t>
          </a:r>
        </a:p>
      </xdr:txBody>
    </xdr:sp>
    <xdr:clientData/>
  </xdr:oneCellAnchor>
  <xdr:oneCellAnchor>
    <xdr:from>
      <xdr:col>6</xdr:col>
      <xdr:colOff>146957</xdr:colOff>
      <xdr:row>17</xdr:row>
      <xdr:rowOff>81644</xdr:rowOff>
    </xdr:from>
    <xdr:ext cx="2356757" cy="8382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136527" y="3735434"/>
          <a:ext cx="2356757" cy="838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Section 2 is provided for </a:t>
          </a:r>
        </a:p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Viscosity </a:t>
          </a:r>
        </a:p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conversions</a:t>
          </a:r>
        </a:p>
      </xdr:txBody>
    </xdr:sp>
    <xdr:clientData/>
  </xdr:oneCellAnchor>
  <xdr:oneCellAnchor>
    <xdr:from>
      <xdr:col>1</xdr:col>
      <xdr:colOff>2038350</xdr:colOff>
      <xdr:row>0</xdr:row>
      <xdr:rowOff>69850</xdr:rowOff>
    </xdr:from>
    <xdr:ext cx="4048125" cy="5202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2724150" y="69850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Fluid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78827</xdr:colOff>
      <xdr:row>0</xdr:row>
      <xdr:rowOff>105103</xdr:rowOff>
    </xdr:from>
    <xdr:to>
      <xdr:col>1</xdr:col>
      <xdr:colOff>1935654</xdr:colOff>
      <xdr:row>1</xdr:row>
      <xdr:rowOff>243234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27" y="105103"/>
          <a:ext cx="2504965" cy="3921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201385</xdr:colOff>
      <xdr:row>6</xdr:row>
      <xdr:rowOff>81642</xdr:rowOff>
    </xdr:from>
    <xdr:ext cx="2356757" cy="75111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8190955" y="1087482"/>
          <a:ext cx="2356757" cy="751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Section 1 is provided for </a:t>
          </a:r>
        </a:p>
        <a:p>
          <a:pPr marL="0" indent="0" algn="ctr"/>
          <a:r>
            <a:rPr lang="en-US" sz="12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Production Index</a:t>
          </a:r>
          <a:endParaRPr lang="en-US" sz="1200" b="1" i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conversions</a:t>
          </a:r>
        </a:p>
      </xdr:txBody>
    </xdr:sp>
    <xdr:clientData/>
  </xdr:oneCellAnchor>
  <xdr:oneCellAnchor>
    <xdr:from>
      <xdr:col>6</xdr:col>
      <xdr:colOff>146957</xdr:colOff>
      <xdr:row>17</xdr:row>
      <xdr:rowOff>81644</xdr:rowOff>
    </xdr:from>
    <xdr:ext cx="2356757" cy="8382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136527" y="3735434"/>
          <a:ext cx="2356757" cy="838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Section 2 is provided for </a:t>
          </a:r>
        </a:p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Stroke Volume</a:t>
          </a:r>
        </a:p>
        <a:p>
          <a:pPr marL="0" indent="0" algn="ctr"/>
          <a:r>
            <a:rPr lang="en-US" sz="1200" b="1" i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conversions</a:t>
          </a:r>
        </a:p>
      </xdr:txBody>
    </xdr:sp>
    <xdr:clientData/>
  </xdr:oneCellAnchor>
  <xdr:oneCellAnchor>
    <xdr:from>
      <xdr:col>5</xdr:col>
      <xdr:colOff>114300</xdr:colOff>
      <xdr:row>26</xdr:row>
      <xdr:rowOff>273050</xdr:rowOff>
    </xdr:from>
    <xdr:ext cx="2356757" cy="8382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6692900" y="6553200"/>
          <a:ext cx="2356757" cy="8382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2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Section 3 is provided for </a:t>
          </a:r>
        </a:p>
        <a:p>
          <a:pPr marL="0" indent="0" algn="ctr"/>
          <a:r>
            <a:rPr lang="en-US" sz="12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Pipe Capacity</a:t>
          </a:r>
        </a:p>
        <a:p>
          <a:pPr marL="0" indent="0" algn="ctr"/>
          <a:r>
            <a:rPr lang="en-US" sz="12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conversions</a:t>
          </a:r>
        </a:p>
      </xdr:txBody>
    </xdr:sp>
    <xdr:clientData/>
  </xdr:oneCellAnchor>
  <xdr:oneCellAnchor>
    <xdr:from>
      <xdr:col>1</xdr:col>
      <xdr:colOff>2463800</xdr:colOff>
      <xdr:row>0</xdr:row>
      <xdr:rowOff>114300</xdr:rowOff>
    </xdr:from>
    <xdr:ext cx="4048125" cy="5202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479800" y="114300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Production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217714</xdr:colOff>
      <xdr:row>0</xdr:row>
      <xdr:rowOff>185058</xdr:rowOff>
    </xdr:from>
    <xdr:to>
      <xdr:col>1</xdr:col>
      <xdr:colOff>2174421</xdr:colOff>
      <xdr:row>2</xdr:row>
      <xdr:rowOff>140579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185058"/>
          <a:ext cx="2914650" cy="4562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1589314</xdr:colOff>
      <xdr:row>0</xdr:row>
      <xdr:rowOff>54429</xdr:rowOff>
    </xdr:from>
    <xdr:ext cx="4895306" cy="5202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4397284" y="54429"/>
          <a:ext cx="4895306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Energy Conversions 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152400</xdr:rowOff>
    </xdr:from>
    <xdr:to>
      <xdr:col>3</xdr:col>
      <xdr:colOff>914400</xdr:colOff>
      <xdr:row>2</xdr:row>
      <xdr:rowOff>113364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52400"/>
          <a:ext cx="2914650" cy="4562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1589314</xdr:colOff>
      <xdr:row>0</xdr:row>
      <xdr:rowOff>54428</xdr:rowOff>
    </xdr:from>
    <xdr:ext cx="5382986" cy="585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4401094" y="54428"/>
          <a:ext cx="5382986" cy="58565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Price Related Conversions  - </a:t>
          </a:r>
          <a:r>
            <a:rPr lang="en-US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Energy to Energy 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1560739</xdr:colOff>
      <xdr:row>0</xdr:row>
      <xdr:rowOff>73478</xdr:rowOff>
    </xdr:from>
    <xdr:ext cx="5382986" cy="5856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4437289" y="73478"/>
          <a:ext cx="5382986" cy="58565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Price Related Conversions  - </a:t>
          </a:r>
          <a:r>
            <a:rPr lang="en-US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Energy to Energy 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76200</xdr:rowOff>
    </xdr:from>
    <xdr:to>
      <xdr:col>3</xdr:col>
      <xdr:colOff>847725</xdr:colOff>
      <xdr:row>2</xdr:row>
      <xdr:rowOff>37164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76200"/>
          <a:ext cx="2914650" cy="4562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1798864</xdr:colOff>
      <xdr:row>0</xdr:row>
      <xdr:rowOff>60778</xdr:rowOff>
    </xdr:from>
    <xdr:ext cx="5382986" cy="585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08514" y="60778"/>
          <a:ext cx="5382986" cy="58565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Price Energy to Volume </a:t>
          </a:r>
          <a:r>
            <a:rPr lang="en-US" sz="1400" b="1" i="0" baseline="0">
              <a:solidFill>
                <a:schemeClr val="bg1"/>
              </a:solidFill>
            </a:rPr>
            <a:t>Conversions</a:t>
          </a:r>
          <a:r>
            <a:rPr lang="en-US" sz="1400" b="1" i="1" baseline="0">
              <a:solidFill>
                <a:schemeClr val="bg1"/>
              </a:solidFill>
            </a:rPr>
            <a:t> </a:t>
          </a:r>
          <a:endParaRPr lang="en-US" sz="1400" b="1" i="1">
            <a:solidFill>
              <a:schemeClr val="bg1"/>
            </a:solidFill>
          </a:endParaRPr>
        </a:p>
      </xdr:txBody>
    </xdr:sp>
    <xdr:clientData/>
  </xdr:oneCellAnchor>
  <xdr:oneCellAnchor>
    <xdr:from>
      <xdr:col>11</xdr:col>
      <xdr:colOff>1100364</xdr:colOff>
      <xdr:row>7</xdr:row>
      <xdr:rowOff>342900</xdr:rowOff>
    </xdr:from>
    <xdr:ext cx="3749222" cy="11811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3994493" y="2394857"/>
          <a:ext cx="3749222" cy="1181100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You may input</a:t>
          </a:r>
          <a:r>
            <a:rPr lang="en-US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the CV required for your case. The above value is set as a default. </a:t>
          </a:r>
          <a:r>
            <a:rPr lang="en-US" sz="14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imperial equivalent is also provided</a:t>
          </a:r>
          <a:endParaRPr lang="en-US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127000</xdr:colOff>
      <xdr:row>0</xdr:row>
      <xdr:rowOff>114300</xdr:rowOff>
    </xdr:from>
    <xdr:to>
      <xdr:col>1</xdr:col>
      <xdr:colOff>1524000</xdr:colOff>
      <xdr:row>1</xdr:row>
      <xdr:rowOff>230083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2362200" cy="3697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1798864</xdr:colOff>
      <xdr:row>0</xdr:row>
      <xdr:rowOff>60778</xdr:rowOff>
    </xdr:from>
    <xdr:ext cx="5382986" cy="585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808514" y="60778"/>
          <a:ext cx="5382986" cy="58565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Price Volume to Energy </a:t>
          </a:r>
          <a:r>
            <a:rPr lang="en-US" sz="1400" b="1" i="0" baseline="0">
              <a:solidFill>
                <a:schemeClr val="bg1"/>
              </a:solidFill>
            </a:rPr>
            <a:t>Conversions</a:t>
          </a:r>
          <a:r>
            <a:rPr lang="en-US" sz="1400" b="1" i="1" baseline="0">
              <a:solidFill>
                <a:schemeClr val="bg1"/>
              </a:solidFill>
            </a:rPr>
            <a:t> </a:t>
          </a:r>
          <a:endParaRPr lang="en-US" sz="1400" b="1" i="1">
            <a:solidFill>
              <a:schemeClr val="bg1"/>
            </a:solidFill>
          </a:endParaRPr>
        </a:p>
      </xdr:txBody>
    </xdr:sp>
    <xdr:clientData/>
  </xdr:oneCellAnchor>
  <xdr:oneCellAnchor>
    <xdr:from>
      <xdr:col>12</xdr:col>
      <xdr:colOff>405493</xdr:colOff>
      <xdr:row>9</xdr:row>
      <xdr:rowOff>348343</xdr:rowOff>
    </xdr:from>
    <xdr:ext cx="4210050" cy="135436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4192250" y="2982686"/>
          <a:ext cx="4210050" cy="1354364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You may input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the CV required for your case. The above value is set as a default. The imperial equivalent is also provided</a:t>
          </a:r>
          <a:endParaRPr lang="en-US" sz="1400" b="1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14</xdr:col>
      <xdr:colOff>92529</xdr:colOff>
      <xdr:row>0</xdr:row>
      <xdr:rowOff>27214</xdr:rowOff>
    </xdr:from>
    <xdr:to>
      <xdr:col>17</xdr:col>
      <xdr:colOff>1602258</xdr:colOff>
      <xdr:row>2</xdr:row>
      <xdr:rowOff>171081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0" y="27214"/>
          <a:ext cx="4296472" cy="644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785404</xdr:colOff>
      <xdr:row>0</xdr:row>
      <xdr:rowOff>60778</xdr:rowOff>
    </xdr:from>
    <xdr:ext cx="5382986" cy="6250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785404" y="60778"/>
          <a:ext cx="5382986" cy="62502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Price Energy to Volume </a:t>
          </a:r>
          <a:r>
            <a:rPr lang="en-US" sz="1400" b="1" i="0" baseline="0">
              <a:solidFill>
                <a:schemeClr val="bg1"/>
              </a:solidFill>
            </a:rPr>
            <a:t>Conversions</a:t>
          </a:r>
          <a:r>
            <a:rPr lang="en-US" sz="1400" b="1" i="1" baseline="0">
              <a:solidFill>
                <a:schemeClr val="bg1"/>
              </a:solidFill>
            </a:rPr>
            <a:t> </a:t>
          </a:r>
          <a:endParaRPr lang="en-US" sz="1400" b="1" i="1">
            <a:solidFill>
              <a:schemeClr val="bg1"/>
            </a:solidFill>
          </a:endParaRPr>
        </a:p>
      </xdr:txBody>
    </xdr:sp>
    <xdr:clientData/>
  </xdr:oneCellAnchor>
  <xdr:oneCellAnchor>
    <xdr:from>
      <xdr:col>5</xdr:col>
      <xdr:colOff>722629</xdr:colOff>
      <xdr:row>6</xdr:row>
      <xdr:rowOff>356870</xdr:rowOff>
    </xdr:from>
    <xdr:ext cx="3756841" cy="103650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5958658" y="2027827"/>
          <a:ext cx="3756841" cy="1036502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You may input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the CV required for your case. The above value is set as a default</a:t>
          </a:r>
          <a:endParaRPr lang="en-US" sz="1400" b="1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10</xdr:col>
      <xdr:colOff>947057</xdr:colOff>
      <xdr:row>0</xdr:row>
      <xdr:rowOff>152401</xdr:rowOff>
    </xdr:from>
    <xdr:to>
      <xdr:col>14</xdr:col>
      <xdr:colOff>1330115</xdr:colOff>
      <xdr:row>2</xdr:row>
      <xdr:rowOff>296268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1343" y="152401"/>
          <a:ext cx="4296472" cy="64461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785404</xdr:colOff>
      <xdr:row>0</xdr:row>
      <xdr:rowOff>60778</xdr:rowOff>
    </xdr:from>
    <xdr:ext cx="5382986" cy="6250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785404" y="60778"/>
          <a:ext cx="5382986" cy="62502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Price </a:t>
          </a:r>
          <a:r>
            <a:rPr lang="en-US" sz="1400" b="1" i="0" baseline="0">
              <a:solidFill>
                <a:schemeClr val="bg1"/>
              </a:solidFill>
            </a:rPr>
            <a:t>Conversions</a:t>
          </a:r>
          <a:r>
            <a:rPr lang="en-US" sz="1400" b="1" i="1" baseline="0">
              <a:solidFill>
                <a:schemeClr val="bg1"/>
              </a:solidFill>
            </a:rPr>
            <a:t> </a:t>
          </a:r>
          <a:r>
            <a:rPr lang="en-US" sz="1400" b="1" i="0" baseline="0">
              <a:solidFill>
                <a:schemeClr val="bg1"/>
              </a:solidFill>
            </a:rPr>
            <a:t>- </a:t>
          </a:r>
          <a:r>
            <a:rPr lang="en-US" sz="14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Energy to Volume </a:t>
          </a:r>
          <a:endParaRPr lang="en-US" sz="1400" b="1" i="1">
            <a:solidFill>
              <a:schemeClr val="bg1"/>
            </a:solidFill>
          </a:endParaRPr>
        </a:p>
      </xdr:txBody>
    </xdr:sp>
    <xdr:clientData/>
  </xdr:oneCellAnchor>
  <xdr:oneCellAnchor>
    <xdr:from>
      <xdr:col>5</xdr:col>
      <xdr:colOff>722630</xdr:colOff>
      <xdr:row>6</xdr:row>
      <xdr:rowOff>356869</xdr:rowOff>
    </xdr:from>
    <xdr:ext cx="3762284" cy="113447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958659" y="2027826"/>
          <a:ext cx="3762284" cy="1134473"/>
        </a:xfrm>
        <a:prstGeom prst="rect">
          <a:avLst/>
        </a:prstGeom>
        <a:solidFill>
          <a:schemeClr val="accent4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You may input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the CV required for your case. The above value is set as a default</a:t>
          </a:r>
          <a:endParaRPr lang="en-US" sz="1400" b="1">
            <a:solidFill>
              <a:sysClr val="windowText" lastClr="000000"/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11</xdr:col>
      <xdr:colOff>691243</xdr:colOff>
      <xdr:row>0</xdr:row>
      <xdr:rowOff>87086</xdr:rowOff>
    </xdr:from>
    <xdr:to>
      <xdr:col>15</xdr:col>
      <xdr:colOff>785829</xdr:colOff>
      <xdr:row>2</xdr:row>
      <xdr:rowOff>230953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5114" y="87086"/>
          <a:ext cx="4296472" cy="644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1814511</xdr:colOff>
      <xdr:row>0</xdr:row>
      <xdr:rowOff>179814</xdr:rowOff>
    </xdr:from>
    <xdr:ext cx="4048125" cy="5202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33849" y="179814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Volume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9526</xdr:colOff>
      <xdr:row>1</xdr:row>
      <xdr:rowOff>47625</xdr:rowOff>
    </xdr:from>
    <xdr:to>
      <xdr:col>3</xdr:col>
      <xdr:colOff>962026</xdr:colOff>
      <xdr:row>3</xdr:row>
      <xdr:rowOff>122889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238125"/>
          <a:ext cx="2914650" cy="4562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65314</xdr:colOff>
      <xdr:row>0</xdr:row>
      <xdr:rowOff>54428</xdr:rowOff>
    </xdr:from>
    <xdr:ext cx="4048125" cy="5202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749143" y="54428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Pressure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0</xdr:rowOff>
    </xdr:from>
    <xdr:to>
      <xdr:col>3</xdr:col>
      <xdr:colOff>247650</xdr:colOff>
      <xdr:row>1</xdr:row>
      <xdr:rowOff>456264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771" y="250371"/>
          <a:ext cx="2914650" cy="456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1295399</xdr:colOff>
      <xdr:row>0</xdr:row>
      <xdr:rowOff>47625</xdr:rowOff>
    </xdr:from>
    <xdr:ext cx="4048125" cy="5202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424362" y="47625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Density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oneCellAnchor>
    <xdr:from>
      <xdr:col>3</xdr:col>
      <xdr:colOff>1333499</xdr:colOff>
      <xdr:row>0</xdr:row>
      <xdr:rowOff>85725</xdr:rowOff>
    </xdr:from>
    <xdr:ext cx="4048125" cy="5202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457699" y="85725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Density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828675</xdr:colOff>
      <xdr:row>0</xdr:row>
      <xdr:rowOff>161925</xdr:rowOff>
    </xdr:from>
    <xdr:to>
      <xdr:col>3</xdr:col>
      <xdr:colOff>47625</xdr:colOff>
      <xdr:row>2</xdr:row>
      <xdr:rowOff>122889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61925"/>
          <a:ext cx="2914650" cy="4562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0</xdr:row>
      <xdr:rowOff>54428</xdr:rowOff>
    </xdr:from>
    <xdr:ext cx="4048125" cy="5202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136571" y="54428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Weight Conversions</a:t>
          </a:r>
        </a:p>
      </xdr:txBody>
    </xdr:sp>
    <xdr:clientData/>
  </xdr:oneCellAnchor>
  <xdr:twoCellAnchor editAs="oneCell">
    <xdr:from>
      <xdr:col>0</xdr:col>
      <xdr:colOff>952500</xdr:colOff>
      <xdr:row>0</xdr:row>
      <xdr:rowOff>219075</xdr:rowOff>
    </xdr:from>
    <xdr:to>
      <xdr:col>3</xdr:col>
      <xdr:colOff>857250</xdr:colOff>
      <xdr:row>1</xdr:row>
      <xdr:rowOff>275289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219075"/>
          <a:ext cx="2914650" cy="456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1589314</xdr:colOff>
      <xdr:row>0</xdr:row>
      <xdr:rowOff>54429</xdr:rowOff>
    </xdr:from>
    <xdr:ext cx="4895306" cy="5202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401094" y="54429"/>
          <a:ext cx="4895306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Energy Conversions for Oil &amp; Gas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76200</xdr:colOff>
      <xdr:row>0</xdr:row>
      <xdr:rowOff>142875</xdr:rowOff>
    </xdr:from>
    <xdr:to>
      <xdr:col>3</xdr:col>
      <xdr:colOff>819150</xdr:colOff>
      <xdr:row>2</xdr:row>
      <xdr:rowOff>103839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42875"/>
          <a:ext cx="2914650" cy="4562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1066800</xdr:colOff>
      <xdr:row>0</xdr:row>
      <xdr:rowOff>21772</xdr:rowOff>
    </xdr:from>
    <xdr:ext cx="4048125" cy="5202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229100" y="21772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Flowrate (Mass)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10885</xdr:colOff>
      <xdr:row>0</xdr:row>
      <xdr:rowOff>119742</xdr:rowOff>
    </xdr:from>
    <xdr:to>
      <xdr:col>3</xdr:col>
      <xdr:colOff>508907</xdr:colOff>
      <xdr:row>3</xdr:row>
      <xdr:rowOff>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4" y="119742"/>
          <a:ext cx="2914650" cy="4562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1085850</xdr:colOff>
      <xdr:row>0</xdr:row>
      <xdr:rowOff>101600</xdr:rowOff>
    </xdr:from>
    <xdr:ext cx="4048125" cy="5202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600450" y="101600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Flowrate (Volume)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19050</xdr:colOff>
      <xdr:row>0</xdr:row>
      <xdr:rowOff>171450</xdr:rowOff>
    </xdr:from>
    <xdr:to>
      <xdr:col>3</xdr:col>
      <xdr:colOff>733425</xdr:colOff>
      <xdr:row>2</xdr:row>
      <xdr:rowOff>132414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71450"/>
          <a:ext cx="2914650" cy="4562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740228</xdr:colOff>
      <xdr:row>5</xdr:row>
      <xdr:rowOff>206828</xdr:rowOff>
    </xdr:from>
    <xdr:ext cx="2699658" cy="11049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950528" y="1034142"/>
          <a:ext cx="2699658" cy="11049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4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Section 1 is provided for </a:t>
          </a:r>
        </a:p>
        <a:p>
          <a:pPr marL="0" indent="0" algn="ctr"/>
          <a:r>
            <a:rPr lang="en-US" sz="14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Gas Production Rate </a:t>
          </a:r>
        </a:p>
        <a:p>
          <a:pPr marL="0" indent="0" algn="ctr"/>
          <a:r>
            <a:rPr lang="en-US" sz="14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conversions</a:t>
          </a:r>
        </a:p>
      </xdr:txBody>
    </xdr:sp>
    <xdr:clientData/>
  </xdr:oneCellAnchor>
  <xdr:oneCellAnchor>
    <xdr:from>
      <xdr:col>7</xdr:col>
      <xdr:colOff>674915</xdr:colOff>
      <xdr:row>15</xdr:row>
      <xdr:rowOff>201387</xdr:rowOff>
    </xdr:from>
    <xdr:ext cx="2792185" cy="122464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9432472" y="4196444"/>
          <a:ext cx="2792185" cy="12246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en-US" sz="14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Section 2 is provided for </a:t>
          </a:r>
        </a:p>
        <a:p>
          <a:pPr marL="0" indent="0" algn="ctr"/>
          <a:r>
            <a:rPr lang="en-US" sz="14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Gas Volume </a:t>
          </a:r>
        </a:p>
        <a:p>
          <a:pPr marL="0" indent="0" algn="ctr"/>
          <a:r>
            <a:rPr lang="en-US" sz="1400" b="1" i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conversions</a:t>
          </a:r>
        </a:p>
      </xdr:txBody>
    </xdr:sp>
    <xdr:clientData/>
  </xdr:oneCellAnchor>
  <xdr:oneCellAnchor>
    <xdr:from>
      <xdr:col>1</xdr:col>
      <xdr:colOff>2002971</xdr:colOff>
      <xdr:row>0</xdr:row>
      <xdr:rowOff>70757</xdr:rowOff>
    </xdr:from>
    <xdr:ext cx="4048125" cy="5202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3118757" y="70757"/>
          <a:ext cx="4048125" cy="520274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400" b="1">
              <a:solidFill>
                <a:schemeClr val="bg1"/>
              </a:solidFill>
            </a:rPr>
            <a:t>This sheet</a:t>
          </a:r>
          <a:r>
            <a:rPr lang="en-US" sz="1400" b="1" baseline="0">
              <a:solidFill>
                <a:schemeClr val="bg1"/>
              </a:solidFill>
            </a:rPr>
            <a:t> provides Gas Conversions</a:t>
          </a:r>
          <a:endParaRPr 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47625</xdr:colOff>
      <xdr:row>0</xdr:row>
      <xdr:rowOff>66675</xdr:rowOff>
    </xdr:from>
    <xdr:to>
      <xdr:col>1</xdr:col>
      <xdr:colOff>1905000</xdr:colOff>
      <xdr:row>2</xdr:row>
      <xdr:rowOff>46689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2914650" cy="45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C0C7-4336-4E6D-8D66-6E1D238FB55A}">
  <sheetPr codeName="Sheet1">
    <tabColor theme="5" tint="0.39997558519241921"/>
    <pageSetUpPr fitToPage="1"/>
  </sheetPr>
  <dimension ref="B3:L24"/>
  <sheetViews>
    <sheetView tabSelected="1" zoomScaleNormal="100" workbookViewId="0">
      <selection activeCell="J45" sqref="J45"/>
    </sheetView>
  </sheetViews>
  <sheetFormatPr defaultColWidth="8.90625" defaultRowHeight="15" customHeight="1" x14ac:dyDescent="0.35"/>
  <cols>
    <col min="1" max="1" width="13.54296875" style="56" customWidth="1"/>
    <col min="2" max="7" width="8.90625" style="56"/>
    <col min="8" max="8" width="26.54296875" style="56" customWidth="1"/>
    <col min="9" max="9" width="8.1796875" style="56" customWidth="1"/>
    <col min="10" max="12" width="28.54296875" style="56" customWidth="1"/>
    <col min="13" max="14" width="12.54296875" style="56" customWidth="1"/>
    <col min="15" max="16384" width="8.90625" style="56"/>
  </cols>
  <sheetData>
    <row r="3" spans="2:12" ht="25" customHeight="1" x14ac:dyDescent="0.35"/>
    <row r="8" spans="2:12" ht="15" customHeight="1" thickBot="1" x14ac:dyDescent="0.4"/>
    <row r="9" spans="2:12" ht="30" customHeight="1" x14ac:dyDescent="0.35">
      <c r="J9" s="100" t="s">
        <v>93</v>
      </c>
      <c r="K9" s="101" t="s">
        <v>94</v>
      </c>
      <c r="L9" s="102" t="s">
        <v>101</v>
      </c>
    </row>
    <row r="10" spans="2:12" ht="30" customHeight="1" x14ac:dyDescent="0.35">
      <c r="J10" s="103" t="s">
        <v>95</v>
      </c>
      <c r="K10" s="104" t="s">
        <v>98</v>
      </c>
      <c r="L10" s="105" t="s">
        <v>102</v>
      </c>
    </row>
    <row r="11" spans="2:12" ht="30" customHeight="1" x14ac:dyDescent="0.35">
      <c r="J11" s="106" t="s">
        <v>96</v>
      </c>
      <c r="K11" s="104" t="s">
        <v>99</v>
      </c>
      <c r="L11" s="105" t="s">
        <v>103</v>
      </c>
    </row>
    <row r="12" spans="2:12" ht="30" customHeight="1" x14ac:dyDescent="0.35">
      <c r="B12" s="61"/>
      <c r="C12" s="60"/>
      <c r="D12" s="60"/>
      <c r="E12" s="60"/>
      <c r="F12" s="60"/>
      <c r="J12" s="106" t="s">
        <v>97</v>
      </c>
      <c r="K12" s="110" t="s">
        <v>100</v>
      </c>
      <c r="L12" s="111" t="s">
        <v>104</v>
      </c>
    </row>
    <row r="13" spans="2:12" ht="30" customHeight="1" x14ac:dyDescent="0.35">
      <c r="B13" s="61"/>
      <c r="C13" s="60"/>
      <c r="D13" s="60"/>
      <c r="E13" s="60"/>
      <c r="F13" s="60"/>
      <c r="J13" s="109"/>
      <c r="K13" s="109"/>
      <c r="L13" s="109"/>
    </row>
    <row r="14" spans="2:12" ht="15" customHeight="1" x14ac:dyDescent="0.45">
      <c r="B14" s="57" t="s">
        <v>111</v>
      </c>
    </row>
    <row r="15" spans="2:12" ht="15" customHeight="1" x14ac:dyDescent="0.45">
      <c r="B15" s="57"/>
    </row>
    <row r="16" spans="2:12" ht="15" customHeight="1" x14ac:dyDescent="0.35">
      <c r="B16" s="58" t="s">
        <v>106</v>
      </c>
    </row>
    <row r="17" spans="2:9" ht="15" customHeight="1" x14ac:dyDescent="0.35">
      <c r="B17" s="58" t="s">
        <v>108</v>
      </c>
    </row>
    <row r="18" spans="2:9" ht="15" customHeight="1" x14ac:dyDescent="0.35">
      <c r="B18" s="58" t="s">
        <v>107</v>
      </c>
    </row>
    <row r="19" spans="2:9" ht="15" customHeight="1" x14ac:dyDescent="0.35">
      <c r="B19" s="58" t="s">
        <v>105</v>
      </c>
      <c r="I19" s="59"/>
    </row>
    <row r="20" spans="2:9" ht="15" customHeight="1" x14ac:dyDescent="0.35">
      <c r="I20" s="59"/>
    </row>
    <row r="21" spans="2:9" ht="15" customHeight="1" x14ac:dyDescent="0.35">
      <c r="C21" s="60"/>
      <c r="D21" s="62"/>
      <c r="E21" s="60"/>
      <c r="F21" s="60"/>
      <c r="G21" s="60"/>
      <c r="H21" s="60"/>
      <c r="I21" s="59"/>
    </row>
    <row r="22" spans="2:9" ht="15" customHeight="1" x14ac:dyDescent="0.35">
      <c r="C22" s="60"/>
      <c r="D22" s="62"/>
      <c r="E22" s="60"/>
      <c r="F22" s="60"/>
      <c r="G22" s="60"/>
      <c r="H22" s="60"/>
      <c r="I22" s="59"/>
    </row>
    <row r="23" spans="2:9" ht="15" customHeight="1" x14ac:dyDescent="0.35">
      <c r="C23" s="60"/>
      <c r="D23" s="62"/>
      <c r="E23" s="60"/>
      <c r="F23" s="60"/>
      <c r="G23" s="60"/>
      <c r="H23" s="60"/>
      <c r="I23" s="59"/>
    </row>
    <row r="24" spans="2:9" ht="15" customHeight="1" x14ac:dyDescent="0.35">
      <c r="C24" s="60"/>
      <c r="D24" s="62"/>
      <c r="E24" s="60"/>
      <c r="F24" s="60"/>
      <c r="G24" s="60"/>
      <c r="H24" s="60"/>
      <c r="I24" s="59"/>
    </row>
  </sheetData>
  <hyperlinks>
    <hyperlink ref="J9" location="Volume!A1" display="Volume!A1" xr:uid="{26878713-5E5B-44AF-A9E8-E0F7659C9EEC}"/>
    <hyperlink ref="K9" location="Pressure!A1" display="Pressure!A1" xr:uid="{02461B98-79F3-4728-8CC8-85DC1FD4CDC2}"/>
    <hyperlink ref="L9" location="Density!A1" display="Density!A1" xr:uid="{0A11FAF8-F2C2-46D0-BE56-9801E403B68C}"/>
    <hyperlink ref="J10" location="Weight!A1" display="Weight!A1" xr:uid="{BE0F1BEC-88B3-4685-AF5F-097036A119A8}"/>
    <hyperlink ref="K10" location="'Energy - O&amp;G'!A1" display="'Energy - O&amp;G'!A1" xr:uid="{402AFCB3-4662-4F41-9973-9A39A911DE2A}"/>
    <hyperlink ref="L10" location="'Flowrate - Mass'!A1" display="'Flowrate - Mass'!A1" xr:uid="{3978AB10-7538-4C82-B302-5D094C68D271}"/>
    <hyperlink ref="J11" location="'Gas conversions'!A1" display="'Gas conversions'!A1" xr:uid="{1167B79D-57E7-42DA-A682-34A2D7EE2F86}"/>
    <hyperlink ref="K11" location="'Fluid Conversions'!A1" display="'Fluid Conversions'!A1" xr:uid="{F832914C-577C-432B-97C3-E70E7249AC71}"/>
    <hyperlink ref="L11" location="'Production Conversions'!A1" display="'Production Conversions'!A1" xr:uid="{80F49626-7ABD-42F8-9953-DAFBA055EECD}"/>
    <hyperlink ref="J12" location="'Energy Conversions'!A1" display="'Energy Conversions'!A1" xr:uid="{127A9B13-6002-4B95-9DDB-ECC0D0C86DBC}"/>
    <hyperlink ref="K12" location="'Prices - Energy to Energy'!A1" display="'Prices - Energy to Energy'!A1" xr:uid="{1717EC0B-C6E1-4F88-8BB5-77C2BA54F97F}"/>
    <hyperlink ref="L12" location="'Energy to Volume'!A1" display="'Energy to Volume'!A1" xr:uid="{030FB544-D472-44FC-9516-76A868FCEFA1}"/>
  </hyperlinks>
  <pageMargins left="1" right="1" top="1" bottom="1" header="0.5" footer="0.5"/>
  <pageSetup paperSize="9"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6C8F-06E7-4ABD-936C-C4DE98C8C1D5}">
  <sheetPr codeName="Sheet10">
    <tabColor rgb="FF00B0F0"/>
    <pageSetUpPr fitToPage="1"/>
  </sheetPr>
  <dimension ref="A1:W63"/>
  <sheetViews>
    <sheetView zoomScale="87" zoomScaleNormal="87" workbookViewId="0">
      <selection activeCell="H2" sqref="H2"/>
    </sheetView>
  </sheetViews>
  <sheetFormatPr defaultColWidth="25.54296875" defaultRowHeight="13" x14ac:dyDescent="0.35"/>
  <cols>
    <col min="1" max="1" width="9.453125" style="12" customWidth="1"/>
    <col min="2" max="2" width="38.90625" style="12" customWidth="1"/>
    <col min="3" max="3" width="4.54296875" style="12" customWidth="1"/>
    <col min="4" max="4" width="40" style="12" customWidth="1"/>
    <col min="5" max="5" width="4.54296875" style="12" customWidth="1"/>
    <col min="6" max="6" width="40.6328125" style="12" customWidth="1"/>
    <col min="7" max="7" width="4.54296875" style="12" customWidth="1"/>
    <col min="8" max="8" width="30.54296875" style="12" customWidth="1"/>
    <col min="9" max="9" width="4.54296875" style="12" customWidth="1"/>
    <col min="10" max="10" width="23.54296875" style="12" customWidth="1"/>
    <col min="11" max="11" width="4.54296875" style="12" customWidth="1"/>
    <col min="12" max="12" width="23.54296875" style="12" customWidth="1"/>
    <col min="13" max="13" width="4.54296875" style="12" customWidth="1"/>
    <col min="14" max="14" width="23.54296875" style="12" customWidth="1"/>
    <col min="15" max="16384" width="25.54296875" style="12"/>
  </cols>
  <sheetData>
    <row r="1" spans="1:23" ht="20.149999999999999" customHeight="1" x14ac:dyDescent="0.3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 ht="20.149999999999999" customHeight="1" x14ac:dyDescent="0.35">
      <c r="A2" s="70"/>
      <c r="B2" s="70"/>
      <c r="C2" s="70"/>
      <c r="D2" s="70"/>
      <c r="E2" s="70"/>
      <c r="F2" s="70"/>
      <c r="G2" s="70"/>
      <c r="H2" s="114" t="s">
        <v>110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ht="20.149999999999999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20.149999999999999" customHeight="1" x14ac:dyDescent="0.25">
      <c r="A4" s="70"/>
      <c r="B4" s="70"/>
      <c r="C4" s="70"/>
      <c r="D4" s="70"/>
      <c r="E4" s="70"/>
      <c r="F4" s="70"/>
      <c r="G4" s="70"/>
      <c r="H4" s="83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3" ht="30" customHeight="1" x14ac:dyDescent="0.25">
      <c r="A5" s="70"/>
      <c r="B5" s="85" t="s">
        <v>38</v>
      </c>
      <c r="C5" s="70"/>
      <c r="D5" s="73" t="s">
        <v>39</v>
      </c>
      <c r="E5" s="71"/>
      <c r="F5" s="73" t="s">
        <v>40</v>
      </c>
      <c r="G5" s="70"/>
      <c r="H5" s="83"/>
      <c r="I5" s="70"/>
      <c r="J5" s="75"/>
      <c r="K5" s="70"/>
      <c r="L5" s="75"/>
      <c r="M5" s="70"/>
      <c r="N5" s="75"/>
      <c r="O5" s="70"/>
      <c r="P5" s="70"/>
      <c r="Q5" s="70"/>
      <c r="R5" s="70"/>
      <c r="S5" s="70"/>
      <c r="T5" s="70"/>
      <c r="U5" s="70"/>
      <c r="V5" s="70"/>
      <c r="W5" s="70"/>
    </row>
    <row r="6" spans="1:23" ht="30" customHeight="1" x14ac:dyDescent="0.25">
      <c r="A6" s="70"/>
      <c r="B6" s="28"/>
      <c r="C6" s="70"/>
      <c r="D6" s="4">
        <f>ROUND(B6*0.0999587,2)</f>
        <v>0</v>
      </c>
      <c r="E6" s="71"/>
      <c r="F6" s="4">
        <f>ROUND(B6*0.208768,2)</f>
        <v>0</v>
      </c>
      <c r="G6" s="70"/>
      <c r="H6" s="83"/>
      <c r="I6" s="70"/>
      <c r="J6" s="76"/>
      <c r="K6" s="70"/>
      <c r="L6" s="76"/>
      <c r="M6" s="70"/>
      <c r="N6" s="77"/>
      <c r="O6" s="70"/>
      <c r="P6" s="70"/>
      <c r="Q6" s="70"/>
      <c r="R6" s="70"/>
      <c r="S6" s="70"/>
      <c r="T6" s="70"/>
      <c r="U6" s="70"/>
      <c r="V6" s="70"/>
      <c r="W6" s="70"/>
    </row>
    <row r="7" spans="1:23" ht="15" customHeight="1" x14ac:dyDescent="0.25">
      <c r="A7" s="70"/>
      <c r="B7" s="70"/>
      <c r="C7" s="70"/>
      <c r="D7" s="70"/>
      <c r="E7" s="70"/>
      <c r="F7" s="70"/>
      <c r="G7" s="70"/>
      <c r="H7" s="83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3" ht="30" customHeight="1" x14ac:dyDescent="0.25">
      <c r="A8" s="70"/>
      <c r="B8" s="85" t="s">
        <v>39</v>
      </c>
      <c r="C8" s="70"/>
      <c r="D8" s="73" t="s">
        <v>38</v>
      </c>
      <c r="E8" s="70"/>
      <c r="F8" s="73" t="s">
        <v>40</v>
      </c>
      <c r="G8" s="70"/>
      <c r="H8" s="83"/>
      <c r="I8" s="70"/>
      <c r="J8" s="75"/>
      <c r="K8" s="70"/>
      <c r="L8" s="75"/>
      <c r="M8" s="70"/>
      <c r="N8" s="75"/>
      <c r="O8" s="70"/>
      <c r="P8" s="70"/>
      <c r="Q8" s="70"/>
      <c r="R8" s="70"/>
      <c r="S8" s="70"/>
      <c r="T8" s="70"/>
      <c r="U8" s="70"/>
      <c r="V8" s="70"/>
      <c r="W8" s="70"/>
    </row>
    <row r="9" spans="1:23" ht="30" customHeight="1" x14ac:dyDescent="0.25">
      <c r="A9" s="70"/>
      <c r="B9" s="28"/>
      <c r="C9" s="70"/>
      <c r="D9" s="5">
        <f>ROUND(B9*10.0041338,2)</f>
        <v>0</v>
      </c>
      <c r="E9" s="70"/>
      <c r="F9" s="5">
        <f>ROUND(B9*2.088543,2)</f>
        <v>0</v>
      </c>
      <c r="G9" s="70"/>
      <c r="H9" s="83"/>
      <c r="I9" s="70"/>
      <c r="J9" s="77"/>
      <c r="K9" s="70"/>
      <c r="L9" s="77"/>
      <c r="M9" s="70"/>
      <c r="N9" s="77"/>
      <c r="O9" s="70"/>
      <c r="P9" s="70"/>
      <c r="Q9" s="70"/>
      <c r="R9" s="70"/>
      <c r="S9" s="70"/>
      <c r="T9" s="70"/>
      <c r="U9" s="70"/>
      <c r="V9" s="70"/>
      <c r="W9" s="70"/>
    </row>
    <row r="10" spans="1:23" ht="15" customHeight="1" x14ac:dyDescent="0.25">
      <c r="A10" s="70"/>
      <c r="B10" s="70"/>
      <c r="C10" s="70"/>
      <c r="D10" s="70"/>
      <c r="E10" s="70"/>
      <c r="F10" s="70"/>
      <c r="G10" s="70"/>
      <c r="H10" s="83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3" ht="30" customHeight="1" x14ac:dyDescent="0.25">
      <c r="A11" s="70"/>
      <c r="B11" s="85" t="s">
        <v>40</v>
      </c>
      <c r="C11" s="70"/>
      <c r="D11" s="73" t="s">
        <v>38</v>
      </c>
      <c r="E11" s="70"/>
      <c r="F11" s="73" t="s">
        <v>39</v>
      </c>
      <c r="G11" s="70"/>
      <c r="H11" s="83"/>
      <c r="I11" s="70"/>
      <c r="J11" s="75"/>
      <c r="K11" s="70"/>
      <c r="L11" s="75"/>
      <c r="M11" s="70"/>
      <c r="N11" s="75"/>
      <c r="O11" s="70"/>
      <c r="P11" s="70"/>
      <c r="Q11" s="70"/>
      <c r="R11" s="70"/>
      <c r="S11" s="70"/>
      <c r="T11" s="70"/>
      <c r="U11" s="70"/>
      <c r="V11" s="70"/>
      <c r="W11" s="70"/>
    </row>
    <row r="12" spans="1:23" ht="30" customHeight="1" x14ac:dyDescent="0.25">
      <c r="A12" s="70"/>
      <c r="B12" s="28"/>
      <c r="C12" s="70"/>
      <c r="D12" s="5">
        <f>ROUND(B12*4.7900061,2)</f>
        <v>0</v>
      </c>
      <c r="E12" s="70"/>
      <c r="F12" s="5">
        <f>ROUND(B12*0.4788027,2)</f>
        <v>0</v>
      </c>
      <c r="G12" s="70"/>
      <c r="H12" s="83"/>
      <c r="I12" s="70"/>
      <c r="J12" s="77"/>
      <c r="K12" s="70"/>
      <c r="L12" s="77"/>
      <c r="M12" s="70"/>
      <c r="N12" s="77"/>
      <c r="O12" s="70"/>
      <c r="P12" s="70"/>
      <c r="Q12" s="70"/>
      <c r="R12" s="70"/>
      <c r="S12" s="70"/>
      <c r="T12" s="70"/>
      <c r="U12" s="70"/>
      <c r="V12" s="70"/>
      <c r="W12" s="70"/>
    </row>
    <row r="13" spans="1:23" ht="15" customHeight="1" x14ac:dyDescent="0.25">
      <c r="A13" s="70"/>
      <c r="B13" s="83"/>
      <c r="C13" s="83"/>
      <c r="D13" s="83"/>
      <c r="E13" s="83"/>
      <c r="F13" s="83"/>
      <c r="G13" s="70"/>
      <c r="H13" s="83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spans="1:23" ht="20.149999999999999" customHeight="1" x14ac:dyDescent="0.25">
      <c r="A14" s="70"/>
      <c r="B14" s="83"/>
      <c r="C14" s="83"/>
      <c r="D14" s="83"/>
      <c r="E14" s="83"/>
      <c r="F14" s="83"/>
      <c r="G14" s="70"/>
      <c r="H14" s="83"/>
      <c r="I14" s="70"/>
      <c r="J14" s="75"/>
      <c r="K14" s="70"/>
      <c r="L14" s="75"/>
      <c r="M14" s="70"/>
      <c r="N14" s="75"/>
      <c r="O14" s="70"/>
      <c r="P14" s="70"/>
      <c r="Q14" s="70"/>
      <c r="R14" s="70"/>
      <c r="S14" s="70"/>
      <c r="T14" s="70"/>
      <c r="U14" s="70"/>
      <c r="V14" s="70"/>
      <c r="W14" s="70"/>
    </row>
    <row r="15" spans="1:23" ht="20.149999999999999" customHeight="1" x14ac:dyDescent="0.25">
      <c r="A15" s="70"/>
      <c r="B15" s="83"/>
      <c r="C15" s="83"/>
      <c r="D15" s="83"/>
      <c r="E15" s="83"/>
      <c r="F15" s="83"/>
      <c r="G15" s="70"/>
      <c r="H15" s="83"/>
      <c r="I15" s="70"/>
      <c r="J15" s="77"/>
      <c r="K15" s="70"/>
      <c r="L15" s="77"/>
      <c r="M15" s="70"/>
      <c r="N15" s="77"/>
      <c r="O15" s="70"/>
      <c r="P15" s="70"/>
      <c r="Q15" s="70"/>
      <c r="R15" s="70"/>
      <c r="S15" s="70"/>
      <c r="T15" s="70"/>
      <c r="U15" s="70"/>
      <c r="V15" s="70"/>
      <c r="W15" s="70"/>
    </row>
    <row r="16" spans="1:23" ht="30" customHeight="1" x14ac:dyDescent="0.25">
      <c r="A16" s="70"/>
      <c r="B16" s="85" t="s">
        <v>41</v>
      </c>
      <c r="C16" s="70"/>
      <c r="D16" s="73" t="s">
        <v>42</v>
      </c>
      <c r="E16" s="71"/>
      <c r="F16" s="73" t="s">
        <v>43</v>
      </c>
      <c r="G16" s="70"/>
      <c r="H16" s="83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23" ht="30" customHeight="1" x14ac:dyDescent="0.25">
      <c r="A17" s="70"/>
      <c r="B17" s="28"/>
      <c r="C17" s="70"/>
      <c r="D17" s="4">
        <f>ROUND(B17*0.0000209,3)</f>
        <v>0</v>
      </c>
      <c r="E17" s="71"/>
      <c r="F17" s="4">
        <f>ROUND(B17*2.4190883,2)</f>
        <v>0</v>
      </c>
      <c r="G17" s="70"/>
      <c r="H17" s="83"/>
      <c r="I17" s="70"/>
      <c r="J17" s="75"/>
      <c r="K17" s="70"/>
      <c r="L17" s="75"/>
      <c r="M17" s="70"/>
      <c r="N17" s="75"/>
      <c r="O17" s="70"/>
      <c r="P17" s="70"/>
      <c r="Q17" s="70"/>
      <c r="R17" s="70"/>
      <c r="S17" s="70"/>
      <c r="T17" s="70"/>
      <c r="U17" s="70"/>
      <c r="V17" s="70"/>
      <c r="W17" s="70"/>
    </row>
    <row r="18" spans="1:23" ht="25" customHeight="1" x14ac:dyDescent="0.25">
      <c r="A18" s="70"/>
      <c r="B18" s="70"/>
      <c r="C18" s="70"/>
      <c r="D18" s="70"/>
      <c r="E18" s="70"/>
      <c r="F18" s="70"/>
      <c r="G18" s="70"/>
      <c r="H18" s="83"/>
      <c r="I18" s="70"/>
      <c r="J18" s="77"/>
      <c r="K18" s="70"/>
      <c r="L18" s="77"/>
      <c r="M18" s="70"/>
      <c r="N18" s="77"/>
      <c r="O18" s="70"/>
      <c r="P18" s="70"/>
      <c r="Q18" s="70"/>
      <c r="R18" s="70"/>
      <c r="S18" s="70"/>
      <c r="T18" s="70"/>
      <c r="U18" s="70"/>
      <c r="V18" s="70"/>
      <c r="W18" s="70"/>
    </row>
    <row r="19" spans="1:23" ht="30" customHeight="1" x14ac:dyDescent="0.25">
      <c r="A19" s="70"/>
      <c r="B19" s="85" t="s">
        <v>42</v>
      </c>
      <c r="C19" s="70"/>
      <c r="D19" s="73" t="s">
        <v>41</v>
      </c>
      <c r="E19" s="70"/>
      <c r="F19" s="73" t="s">
        <v>43</v>
      </c>
      <c r="G19" s="70"/>
      <c r="H19" s="83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1:23" ht="30" customHeight="1" x14ac:dyDescent="0.25">
      <c r="A20" s="70"/>
      <c r="B20" s="28"/>
      <c r="C20" s="70"/>
      <c r="D20" s="5">
        <f>ROUND(B20*47880.2589803,2)</f>
        <v>0</v>
      </c>
      <c r="E20" s="70"/>
      <c r="F20" s="5">
        <f>ROUND(B20*115826.5757036,2)</f>
        <v>0</v>
      </c>
      <c r="G20" s="70"/>
      <c r="H20" s="83"/>
      <c r="I20" s="70"/>
      <c r="J20" s="75"/>
      <c r="K20" s="70"/>
      <c r="L20" s="75"/>
      <c r="M20" s="70"/>
      <c r="N20" s="75"/>
      <c r="O20" s="70"/>
      <c r="P20" s="70"/>
      <c r="Q20" s="70"/>
      <c r="R20" s="70"/>
      <c r="S20" s="70"/>
      <c r="T20" s="70"/>
      <c r="U20" s="70"/>
      <c r="V20" s="70"/>
      <c r="W20" s="70"/>
    </row>
    <row r="21" spans="1:23" ht="25" customHeight="1" x14ac:dyDescent="0.25">
      <c r="A21" s="70"/>
      <c r="B21" s="70"/>
      <c r="C21" s="70"/>
      <c r="D21" s="70"/>
      <c r="E21" s="70"/>
      <c r="F21" s="70"/>
      <c r="G21" s="70"/>
      <c r="H21" s="83"/>
      <c r="I21" s="70"/>
      <c r="J21" s="77"/>
      <c r="K21" s="70"/>
      <c r="L21" s="77"/>
      <c r="M21" s="70"/>
      <c r="N21" s="77"/>
      <c r="O21" s="70"/>
      <c r="P21" s="70"/>
      <c r="Q21" s="70"/>
      <c r="R21" s="70"/>
      <c r="S21" s="70"/>
      <c r="T21" s="70"/>
      <c r="U21" s="70"/>
      <c r="V21" s="70"/>
      <c r="W21" s="70"/>
    </row>
    <row r="22" spans="1:23" ht="30" customHeight="1" x14ac:dyDescent="0.25">
      <c r="A22" s="70"/>
      <c r="B22" s="85" t="s">
        <v>43</v>
      </c>
      <c r="C22" s="70"/>
      <c r="D22" s="73" t="s">
        <v>41</v>
      </c>
      <c r="E22" s="70"/>
      <c r="F22" s="73" t="s">
        <v>42</v>
      </c>
      <c r="G22" s="70"/>
      <c r="H22" s="83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  <row r="23" spans="1:23" ht="30" customHeight="1" x14ac:dyDescent="0.25">
      <c r="A23" s="70"/>
      <c r="B23" s="28"/>
      <c r="C23" s="70"/>
      <c r="D23" s="5">
        <f>ROUND(B23*0.4133789,2)</f>
        <v>0</v>
      </c>
      <c r="E23" s="70"/>
      <c r="F23" s="5">
        <f>ROUND(B23*0.0000086,2)</f>
        <v>0</v>
      </c>
      <c r="G23" s="70"/>
      <c r="H23" s="83"/>
      <c r="I23" s="70"/>
      <c r="J23" s="75"/>
      <c r="K23" s="70"/>
      <c r="L23" s="75"/>
      <c r="M23" s="70"/>
      <c r="N23" s="75"/>
      <c r="O23" s="70"/>
      <c r="P23" s="70"/>
      <c r="Q23" s="70"/>
      <c r="R23" s="70"/>
      <c r="S23" s="70"/>
      <c r="T23" s="70"/>
      <c r="U23" s="70"/>
      <c r="V23" s="70"/>
      <c r="W23" s="70"/>
    </row>
    <row r="24" spans="1:23" ht="25" customHeight="1" x14ac:dyDescent="0.25">
      <c r="A24" s="70"/>
      <c r="B24" s="83"/>
      <c r="C24" s="83"/>
      <c r="D24" s="83"/>
      <c r="E24" s="83"/>
      <c r="F24" s="83"/>
      <c r="G24" s="70"/>
      <c r="H24" s="83"/>
      <c r="I24" s="70"/>
      <c r="J24" s="77"/>
      <c r="K24" s="70"/>
      <c r="L24" s="77"/>
      <c r="M24" s="70"/>
      <c r="N24" s="77"/>
      <c r="O24" s="70"/>
      <c r="P24" s="70"/>
      <c r="Q24" s="70"/>
      <c r="R24" s="70"/>
      <c r="S24" s="70"/>
      <c r="T24" s="70"/>
      <c r="U24" s="70"/>
      <c r="V24" s="70"/>
      <c r="W24" s="70"/>
    </row>
    <row r="25" spans="1:23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</row>
    <row r="26" spans="1:23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</row>
    <row r="27" spans="1:23" x14ac:dyDescent="0.3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</row>
    <row r="28" spans="1:23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spans="1:23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 spans="1:23" x14ac:dyDescent="0.3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 spans="1:23" x14ac:dyDescent="0.3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 spans="1:23" x14ac:dyDescent="0.3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 spans="1:23" x14ac:dyDescent="0.3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</row>
    <row r="34" spans="1:23" x14ac:dyDescent="0.3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</row>
    <row r="35" spans="1:23" x14ac:dyDescent="0.3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</row>
    <row r="36" spans="1:23" x14ac:dyDescent="0.3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</row>
    <row r="37" spans="1:23" x14ac:dyDescent="0.3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</row>
    <row r="38" spans="1:23" x14ac:dyDescent="0.3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</row>
    <row r="39" spans="1:23" x14ac:dyDescent="0.3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</row>
    <row r="40" spans="1:23" x14ac:dyDescent="0.3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</row>
    <row r="41" spans="1:23" x14ac:dyDescent="0.3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spans="1:23" x14ac:dyDescent="0.3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23" x14ac:dyDescent="0.3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23" x14ac:dyDescent="0.3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23" x14ac:dyDescent="0.3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</row>
    <row r="46" spans="1:23" x14ac:dyDescent="0.3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</row>
    <row r="47" spans="1:23" x14ac:dyDescent="0.3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</row>
    <row r="48" spans="1:23" x14ac:dyDescent="0.3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</row>
    <row r="49" spans="1:23" x14ac:dyDescent="0.3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</row>
    <row r="50" spans="1:23" x14ac:dyDescent="0.3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</row>
    <row r="51" spans="1:23" x14ac:dyDescent="0.3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</row>
    <row r="52" spans="1:23" x14ac:dyDescent="0.3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</row>
    <row r="53" spans="1:23" x14ac:dyDescent="0.3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3" x14ac:dyDescent="0.3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</row>
    <row r="55" spans="1:23" x14ac:dyDescent="0.3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</row>
    <row r="56" spans="1:23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</row>
    <row r="57" spans="1:23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</row>
    <row r="58" spans="1:23" x14ac:dyDescent="0.3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</row>
    <row r="59" spans="1:23" x14ac:dyDescent="0.3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</row>
    <row r="60" spans="1:23" x14ac:dyDescent="0.3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</row>
    <row r="61" spans="1:23" x14ac:dyDescent="0.3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</row>
    <row r="62" spans="1:23" x14ac:dyDescent="0.3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</row>
    <row r="63" spans="1:23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</row>
  </sheetData>
  <hyperlinks>
    <hyperlink ref="H2" location="Cockpit!A1" display="HOME" xr:uid="{3B72AD11-3F12-4068-AF99-5CCCEFEF88ED}"/>
  </hyperlinks>
  <pageMargins left="1" right="1" top="1" bottom="1" header="0.5" footer="0.5"/>
  <pageSetup paperSize="9" scale="3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9BB80-1413-4950-A1E8-39EB280DA2F5}">
  <sheetPr codeName="Sheet11">
    <tabColor rgb="FF00B0F0"/>
    <pageSetUpPr fitToPage="1"/>
  </sheetPr>
  <dimension ref="A1:AB76"/>
  <sheetViews>
    <sheetView zoomScale="70" zoomScaleNormal="70" workbookViewId="0">
      <selection activeCell="H2" sqref="H2"/>
    </sheetView>
  </sheetViews>
  <sheetFormatPr defaultColWidth="25.54296875" defaultRowHeight="13" x14ac:dyDescent="0.35"/>
  <cols>
    <col min="1" max="1" width="14" style="12" customWidth="1"/>
    <col min="2" max="2" width="51" style="12" customWidth="1"/>
    <col min="3" max="3" width="4.54296875" style="12" customWidth="1"/>
    <col min="4" max="4" width="46.08984375" style="12" customWidth="1"/>
    <col min="5" max="5" width="4.54296875" style="12" customWidth="1"/>
    <col min="6" max="6" width="44.90625" style="12" customWidth="1"/>
    <col min="7" max="7" width="4.54296875" style="12" customWidth="1"/>
    <col min="8" max="8" width="30.54296875" style="12" customWidth="1"/>
    <col min="9" max="9" width="4.54296875" style="12" customWidth="1"/>
    <col min="10" max="10" width="23.54296875" style="12" customWidth="1"/>
    <col min="11" max="11" width="4.54296875" style="12" customWidth="1"/>
    <col min="12" max="12" width="23.54296875" style="12" customWidth="1"/>
    <col min="13" max="13" width="4.54296875" style="12" customWidth="1"/>
    <col min="14" max="14" width="23.54296875" style="12" customWidth="1"/>
    <col min="15" max="16384" width="25.54296875" style="12"/>
  </cols>
  <sheetData>
    <row r="1" spans="1:28" ht="20.149999999999999" customHeight="1" x14ac:dyDescent="0.3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</row>
    <row r="2" spans="1:28" ht="20.149999999999999" customHeight="1" x14ac:dyDescent="0.35">
      <c r="A2" s="70"/>
      <c r="B2" s="70"/>
      <c r="C2" s="70"/>
      <c r="D2" s="70"/>
      <c r="E2" s="70"/>
      <c r="F2" s="70"/>
      <c r="G2" s="70"/>
      <c r="H2" s="114" t="s">
        <v>110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20.149999999999999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8" ht="20.149999999999999" customHeight="1" x14ac:dyDescent="0.25">
      <c r="A4" s="70"/>
      <c r="B4" s="70"/>
      <c r="C4" s="70"/>
      <c r="D4" s="70"/>
      <c r="E4" s="70"/>
      <c r="F4" s="70"/>
      <c r="G4" s="70"/>
      <c r="H4" s="83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</row>
    <row r="5" spans="1:28" ht="30" customHeight="1" x14ac:dyDescent="0.25">
      <c r="A5" s="70"/>
      <c r="B5" s="72" t="s">
        <v>44</v>
      </c>
      <c r="C5" s="70"/>
      <c r="D5" s="73" t="s">
        <v>45</v>
      </c>
      <c r="E5" s="71"/>
      <c r="F5" s="73" t="s">
        <v>46</v>
      </c>
      <c r="G5" s="70"/>
      <c r="H5" s="83"/>
      <c r="I5" s="70"/>
      <c r="J5" s="75"/>
      <c r="K5" s="70"/>
      <c r="L5" s="75"/>
      <c r="M5" s="70"/>
      <c r="N5" s="75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30" customHeight="1" x14ac:dyDescent="0.25">
      <c r="A6" s="70"/>
      <c r="B6" s="3"/>
      <c r="C6" s="70"/>
      <c r="D6" s="4">
        <f>ROUND(B6*5.6146008,2)</f>
        <v>0</v>
      </c>
      <c r="E6" s="71"/>
      <c r="F6" s="4">
        <f>ROUND(B6*41.9999709,2)</f>
        <v>0</v>
      </c>
      <c r="G6" s="70"/>
      <c r="H6" s="83"/>
      <c r="I6" s="70"/>
      <c r="J6" s="76"/>
      <c r="K6" s="70"/>
      <c r="L6" s="76"/>
      <c r="M6" s="70"/>
      <c r="N6" s="77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25" customHeight="1" x14ac:dyDescent="0.25">
      <c r="A7" s="70"/>
      <c r="B7" s="70"/>
      <c r="C7" s="70"/>
      <c r="D7" s="70"/>
      <c r="E7" s="70"/>
      <c r="F7" s="70"/>
      <c r="G7" s="70"/>
      <c r="H7" s="83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ht="30" customHeight="1" x14ac:dyDescent="0.25">
      <c r="A8" s="70"/>
      <c r="B8" s="72" t="s">
        <v>45</v>
      </c>
      <c r="C8" s="70"/>
      <c r="D8" s="73" t="s">
        <v>44</v>
      </c>
      <c r="E8" s="70"/>
      <c r="F8" s="73" t="s">
        <v>46</v>
      </c>
      <c r="G8" s="70"/>
      <c r="H8" s="83"/>
      <c r="I8" s="70"/>
      <c r="J8" s="75"/>
      <c r="K8" s="70"/>
      <c r="L8" s="75"/>
      <c r="M8" s="70"/>
      <c r="N8" s="75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30" customHeight="1" x14ac:dyDescent="0.25">
      <c r="A9" s="70"/>
      <c r="B9" s="3"/>
      <c r="C9" s="70"/>
      <c r="D9" s="5">
        <f>ROUND(B9*0.1781071,2)</f>
        <v>0</v>
      </c>
      <c r="E9" s="70"/>
      <c r="F9" s="5">
        <f>ROUND(B9*7.480491,2)</f>
        <v>0</v>
      </c>
      <c r="G9" s="70"/>
      <c r="H9" s="83"/>
      <c r="I9" s="70"/>
      <c r="J9" s="77"/>
      <c r="K9" s="70"/>
      <c r="L9" s="77"/>
      <c r="M9" s="70"/>
      <c r="N9" s="77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8" ht="25" customHeight="1" x14ac:dyDescent="0.25">
      <c r="A10" s="70"/>
      <c r="B10" s="70"/>
      <c r="C10" s="70"/>
      <c r="D10" s="70"/>
      <c r="E10" s="70"/>
      <c r="F10" s="70"/>
      <c r="G10" s="70"/>
      <c r="H10" s="83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ht="30" customHeight="1" x14ac:dyDescent="0.25">
      <c r="A11" s="70"/>
      <c r="B11" s="72" t="s">
        <v>46</v>
      </c>
      <c r="C11" s="70"/>
      <c r="D11" s="73" t="s">
        <v>44</v>
      </c>
      <c r="E11" s="70"/>
      <c r="F11" s="73" t="s">
        <v>45</v>
      </c>
      <c r="G11" s="70"/>
      <c r="H11" s="83"/>
      <c r="I11" s="70"/>
      <c r="J11" s="75"/>
      <c r="K11" s="70"/>
      <c r="L11" s="75"/>
      <c r="M11" s="70"/>
      <c r="N11" s="75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</row>
    <row r="12" spans="1:28" ht="30" customHeight="1" x14ac:dyDescent="0.25">
      <c r="A12" s="70"/>
      <c r="B12" s="3"/>
      <c r="C12" s="70"/>
      <c r="D12" s="5">
        <f>ROUND(B12*0.0238095,2)</f>
        <v>0</v>
      </c>
      <c r="E12" s="70"/>
      <c r="F12" s="5">
        <f>ROUND(B12*0.1336811,2)</f>
        <v>0</v>
      </c>
      <c r="G12" s="70"/>
      <c r="H12" s="83"/>
      <c r="I12" s="70"/>
      <c r="J12" s="77"/>
      <c r="K12" s="70"/>
      <c r="L12" s="77"/>
      <c r="M12" s="70"/>
      <c r="N12" s="77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ht="15" customHeight="1" x14ac:dyDescent="0.25">
      <c r="A13" s="70"/>
      <c r="B13" s="83"/>
      <c r="C13" s="83"/>
      <c r="D13" s="83"/>
      <c r="E13" s="83"/>
      <c r="F13" s="83"/>
      <c r="G13" s="70"/>
      <c r="H13" s="83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</row>
    <row r="14" spans="1:28" ht="20.149999999999999" customHeight="1" x14ac:dyDescent="0.25">
      <c r="A14" s="70"/>
      <c r="B14" s="83"/>
      <c r="C14" s="83"/>
      <c r="D14" s="83"/>
      <c r="E14" s="83"/>
      <c r="F14" s="83"/>
      <c r="G14" s="70"/>
      <c r="H14" s="83"/>
      <c r="I14" s="70"/>
      <c r="J14" s="75"/>
      <c r="K14" s="70"/>
      <c r="L14" s="75"/>
      <c r="M14" s="70"/>
      <c r="N14" s="75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ht="20.149999999999999" customHeight="1" x14ac:dyDescent="0.25">
      <c r="A15" s="70"/>
      <c r="B15" s="83"/>
      <c r="C15" s="83"/>
      <c r="D15" s="83"/>
      <c r="E15" s="83"/>
      <c r="F15" s="83"/>
      <c r="G15" s="70"/>
      <c r="H15" s="83"/>
      <c r="I15" s="70"/>
      <c r="J15" s="77"/>
      <c r="K15" s="70"/>
      <c r="L15" s="77"/>
      <c r="M15" s="70"/>
      <c r="N15" s="77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ht="30" customHeight="1" x14ac:dyDescent="0.25">
      <c r="A16" s="70"/>
      <c r="B16" s="72" t="s">
        <v>47</v>
      </c>
      <c r="C16" s="70"/>
      <c r="D16" s="73" t="s">
        <v>48</v>
      </c>
      <c r="E16" s="71"/>
      <c r="F16" s="73" t="s">
        <v>49</v>
      </c>
      <c r="G16" s="70"/>
      <c r="H16" s="83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ht="30" customHeight="1" x14ac:dyDescent="0.25">
      <c r="A17" s="70"/>
      <c r="B17" s="3"/>
      <c r="C17" s="70"/>
      <c r="D17" s="4">
        <f>ROUND(B17*0.1590336,3)</f>
        <v>0</v>
      </c>
      <c r="E17" s="71"/>
      <c r="F17" s="4">
        <f>ROUND(B17*42.01681,2)</f>
        <v>0</v>
      </c>
      <c r="G17" s="70"/>
      <c r="H17" s="83"/>
      <c r="I17" s="70"/>
      <c r="J17" s="75"/>
      <c r="K17" s="70"/>
      <c r="L17" s="75"/>
      <c r="M17" s="70"/>
      <c r="N17" s="75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</row>
    <row r="18" spans="1:28" ht="25" customHeight="1" x14ac:dyDescent="0.25">
      <c r="A18" s="70"/>
      <c r="B18" s="70"/>
      <c r="C18" s="70"/>
      <c r="D18" s="70"/>
      <c r="E18" s="70"/>
      <c r="F18" s="70"/>
      <c r="G18" s="70"/>
      <c r="H18" s="83"/>
      <c r="I18" s="70"/>
      <c r="J18" s="77"/>
      <c r="K18" s="70"/>
      <c r="L18" s="77"/>
      <c r="M18" s="70"/>
      <c r="N18" s="77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ht="30" customHeight="1" x14ac:dyDescent="0.25">
      <c r="A19" s="70"/>
      <c r="B19" s="72" t="s">
        <v>48</v>
      </c>
      <c r="C19" s="70"/>
      <c r="D19" s="73" t="s">
        <v>47</v>
      </c>
      <c r="E19" s="70"/>
      <c r="F19" s="73" t="s">
        <v>49</v>
      </c>
      <c r="G19" s="70"/>
      <c r="H19" s="83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1:28" ht="30" customHeight="1" x14ac:dyDescent="0.25">
      <c r="A20" s="70"/>
      <c r="B20" s="3"/>
      <c r="C20" s="70"/>
      <c r="D20" s="5">
        <f>ROUND(B20*6.2879785,2)</f>
        <v>0</v>
      </c>
      <c r="E20" s="70"/>
      <c r="F20" s="5">
        <f>ROUND(B20*264.2008,2)</f>
        <v>0</v>
      </c>
      <c r="G20" s="70"/>
      <c r="H20" s="83"/>
      <c r="I20" s="70"/>
      <c r="J20" s="75"/>
      <c r="K20" s="70"/>
      <c r="L20" s="75"/>
      <c r="M20" s="70"/>
      <c r="N20" s="75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ht="25" customHeight="1" x14ac:dyDescent="0.25">
      <c r="A21" s="70"/>
      <c r="B21" s="70"/>
      <c r="C21" s="70"/>
      <c r="D21" s="70"/>
      <c r="E21" s="70"/>
      <c r="F21" s="70"/>
      <c r="G21" s="70"/>
      <c r="H21" s="83"/>
      <c r="I21" s="70"/>
      <c r="J21" s="77"/>
      <c r="K21" s="70"/>
      <c r="L21" s="77"/>
      <c r="M21" s="70"/>
      <c r="N21" s="77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ht="30" customHeight="1" x14ac:dyDescent="0.25">
      <c r="A22" s="70"/>
      <c r="B22" s="72" t="s">
        <v>49</v>
      </c>
      <c r="C22" s="70"/>
      <c r="D22" s="73" t="s">
        <v>47</v>
      </c>
      <c r="E22" s="70"/>
      <c r="F22" s="73" t="s">
        <v>48</v>
      </c>
      <c r="G22" s="70"/>
      <c r="H22" s="83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ht="30" customHeight="1" x14ac:dyDescent="0.25">
      <c r="A23" s="70"/>
      <c r="B23" s="3"/>
      <c r="C23" s="70"/>
      <c r="D23" s="5">
        <f>ROUND(B23*0.0238,2)</f>
        <v>0</v>
      </c>
      <c r="E23" s="70"/>
      <c r="F23" s="5">
        <f>ROUND(B23*0.003785,2)</f>
        <v>0</v>
      </c>
      <c r="G23" s="70"/>
      <c r="H23" s="83"/>
      <c r="I23" s="70"/>
      <c r="J23" s="75"/>
      <c r="K23" s="70"/>
      <c r="L23" s="75"/>
      <c r="M23" s="70"/>
      <c r="N23" s="75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ht="25" customHeight="1" x14ac:dyDescent="0.25">
      <c r="A24" s="70"/>
      <c r="B24" s="83"/>
      <c r="C24" s="83"/>
      <c r="D24" s="83"/>
      <c r="E24" s="83"/>
      <c r="F24" s="83"/>
      <c r="G24" s="70"/>
      <c r="H24" s="83"/>
      <c r="I24" s="70"/>
      <c r="J24" s="77"/>
      <c r="K24" s="70"/>
      <c r="L24" s="77"/>
      <c r="M24" s="70"/>
      <c r="N24" s="77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ht="14" x14ac:dyDescent="0.3">
      <c r="A25" s="70"/>
      <c r="B25" s="70"/>
      <c r="C25" s="70"/>
      <c r="D25" s="70"/>
      <c r="E25" s="74"/>
      <c r="F25" s="74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ht="30" customHeight="1" x14ac:dyDescent="0.3">
      <c r="A26" s="70"/>
      <c r="B26" s="72" t="s">
        <v>50</v>
      </c>
      <c r="C26" s="70"/>
      <c r="D26" s="73" t="s">
        <v>51</v>
      </c>
      <c r="E26" s="74"/>
      <c r="F26" s="74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ht="30" customHeight="1" x14ac:dyDescent="0.3">
      <c r="A27" s="70"/>
      <c r="B27" s="3"/>
      <c r="C27" s="70"/>
      <c r="D27" s="4">
        <f>ROUND(B27*0.521654,3)</f>
        <v>0</v>
      </c>
      <c r="E27" s="74"/>
      <c r="F27" s="74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ht="30" customHeight="1" x14ac:dyDescent="0.35">
      <c r="A30" s="70"/>
      <c r="B30" s="72" t="s">
        <v>51</v>
      </c>
      <c r="C30" s="70"/>
      <c r="D30" s="73" t="s">
        <v>50</v>
      </c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30" customHeight="1" x14ac:dyDescent="0.35">
      <c r="A31" s="70"/>
      <c r="B31" s="3"/>
      <c r="C31" s="70"/>
      <c r="D31" s="4">
        <f>ROUND(B31*1.9169795,3)</f>
        <v>0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x14ac:dyDescent="0.3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28" x14ac:dyDescent="0.3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28" x14ac:dyDescent="0.3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28" x14ac:dyDescent="0.3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28" x14ac:dyDescent="0.3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28" x14ac:dyDescent="0.3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1:28" x14ac:dyDescent="0.3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 x14ac:dyDescent="0.3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1:28" x14ac:dyDescent="0.3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</row>
    <row r="41" spans="1:28" x14ac:dyDescent="0.3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1:28" x14ac:dyDescent="0.3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</row>
    <row r="43" spans="1:28" x14ac:dyDescent="0.3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</row>
    <row r="44" spans="1:28" x14ac:dyDescent="0.3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1:28" x14ac:dyDescent="0.3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1:28" x14ac:dyDescent="0.3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</row>
    <row r="47" spans="1:28" x14ac:dyDescent="0.3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</row>
    <row r="48" spans="1:28" x14ac:dyDescent="0.3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1:28" x14ac:dyDescent="0.3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</row>
    <row r="50" spans="1:28" x14ac:dyDescent="0.3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</row>
    <row r="51" spans="1:28" x14ac:dyDescent="0.3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</row>
    <row r="52" spans="1:28" x14ac:dyDescent="0.3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</row>
    <row r="53" spans="1:28" x14ac:dyDescent="0.3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1:28" x14ac:dyDescent="0.3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</row>
    <row r="55" spans="1:28" x14ac:dyDescent="0.3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</row>
    <row r="56" spans="1:28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</row>
    <row r="57" spans="1:28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</row>
    <row r="58" spans="1:28" x14ac:dyDescent="0.3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</row>
    <row r="59" spans="1:28" x14ac:dyDescent="0.3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</row>
    <row r="60" spans="1:28" x14ac:dyDescent="0.3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</row>
    <row r="61" spans="1:28" x14ac:dyDescent="0.3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1:28" x14ac:dyDescent="0.3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</row>
    <row r="63" spans="1:28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</row>
    <row r="64" spans="1:28" x14ac:dyDescent="0.3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</row>
    <row r="65" spans="1:28" x14ac:dyDescent="0.3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</row>
    <row r="66" spans="1:28" x14ac:dyDescent="0.3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</row>
    <row r="67" spans="1:28" x14ac:dyDescent="0.3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</row>
    <row r="68" spans="1:28" x14ac:dyDescent="0.3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</row>
    <row r="69" spans="1:28" x14ac:dyDescent="0.3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</row>
    <row r="70" spans="1:28" x14ac:dyDescent="0.3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</row>
    <row r="71" spans="1:28" x14ac:dyDescent="0.3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</row>
    <row r="72" spans="1:28" x14ac:dyDescent="0.3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</row>
    <row r="73" spans="1:28" x14ac:dyDescent="0.3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</row>
    <row r="74" spans="1:28" x14ac:dyDescent="0.3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</row>
    <row r="75" spans="1:28" x14ac:dyDescent="0.3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</row>
    <row r="76" spans="1:28" x14ac:dyDescent="0.3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</row>
  </sheetData>
  <hyperlinks>
    <hyperlink ref="H2" location="Cockpit!A1" display="HOME" xr:uid="{13A161D9-8930-4599-BC6B-068891CD5A4B}"/>
  </hyperlinks>
  <pageMargins left="1" right="1" top="1" bottom="1" header="0.5" footer="0.5"/>
  <pageSetup paperSize="9" scale="2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A32A-A677-4B8F-83AF-8C6C81FBF414}">
  <sheetPr codeName="Sheet12">
    <tabColor rgb="FF00B0F0"/>
  </sheetPr>
  <dimension ref="A1:AK65"/>
  <sheetViews>
    <sheetView zoomScale="80" zoomScaleNormal="80" workbookViewId="0">
      <selection activeCell="N2" sqref="N2"/>
    </sheetView>
  </sheetViews>
  <sheetFormatPr defaultColWidth="18.54296875" defaultRowHeight="13" x14ac:dyDescent="0.35"/>
  <cols>
    <col min="1" max="1" width="9.6328125" style="26" customWidth="1"/>
    <col min="2" max="2" width="25.54296875" style="26" customWidth="1"/>
    <col min="3" max="3" width="3.54296875" style="26" customWidth="1"/>
    <col min="4" max="4" width="25.54296875" style="26" customWidth="1"/>
    <col min="5" max="5" width="3.54296875" style="26" customWidth="1"/>
    <col min="6" max="6" width="25.54296875" style="26" customWidth="1"/>
    <col min="7" max="7" width="3.54296875" style="26" customWidth="1"/>
    <col min="8" max="8" width="25.54296875" style="26" customWidth="1"/>
    <col min="9" max="9" width="3.54296875" style="26" customWidth="1"/>
    <col min="10" max="10" width="25.54296875" style="26" customWidth="1"/>
    <col min="11" max="11" width="3.54296875" style="26" customWidth="1"/>
    <col min="12" max="12" width="25.54296875" style="26" customWidth="1"/>
    <col min="13" max="13" width="3.54296875" style="26" customWidth="1"/>
    <col min="14" max="14" width="25.54296875" style="26" customWidth="1"/>
    <col min="15" max="16384" width="18.54296875" style="26"/>
  </cols>
  <sheetData>
    <row r="1" spans="1:24" ht="20.149999999999999" customHeigh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20.149999999999999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14" t="s">
        <v>110</v>
      </c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ht="20.149999999999999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4" ht="30" customHeight="1" x14ac:dyDescent="0.35">
      <c r="A4" s="66"/>
      <c r="B4" s="63" t="s">
        <v>58</v>
      </c>
      <c r="C4" s="66"/>
      <c r="D4" s="64" t="s">
        <v>59</v>
      </c>
      <c r="E4" s="67" t="s">
        <v>65</v>
      </c>
      <c r="F4" s="64" t="s">
        <v>60</v>
      </c>
      <c r="G4" s="66"/>
      <c r="H4" s="64" t="s">
        <v>61</v>
      </c>
      <c r="I4" s="66"/>
      <c r="J4" s="64" t="s">
        <v>62</v>
      </c>
      <c r="K4" s="66"/>
      <c r="L4" s="64" t="s">
        <v>63</v>
      </c>
      <c r="M4" s="66"/>
      <c r="N4" s="64" t="s">
        <v>64</v>
      </c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 ht="20.149999999999999" customHeight="1" x14ac:dyDescent="0.35">
      <c r="A5" s="66"/>
      <c r="B5" s="21"/>
      <c r="C5" s="66"/>
      <c r="D5" s="4"/>
      <c r="E5" s="67"/>
      <c r="F5" s="33">
        <f>ROUND(B5*10000,0)</f>
        <v>0</v>
      </c>
      <c r="G5" s="66"/>
      <c r="H5" s="33">
        <f>ROUND((+$B$5/3.6)*1000000,0)</f>
        <v>0</v>
      </c>
      <c r="I5" s="66"/>
      <c r="J5" s="34">
        <f>ROUND((+$B$5/3.6)*1000,3)</f>
        <v>0</v>
      </c>
      <c r="K5" s="66"/>
      <c r="L5" s="35">
        <f>J5/1000</f>
        <v>0</v>
      </c>
      <c r="M5" s="66"/>
      <c r="N5" s="33">
        <f>ROUND(B5/0.0001055056,0)</f>
        <v>0</v>
      </c>
      <c r="O5" s="66"/>
      <c r="P5" s="66"/>
      <c r="Q5" s="66"/>
      <c r="R5" s="66"/>
      <c r="S5" s="66"/>
      <c r="T5" s="66"/>
      <c r="U5" s="66"/>
      <c r="V5" s="66"/>
      <c r="W5" s="66"/>
      <c r="X5" s="66"/>
    </row>
    <row r="6" spans="1:24" ht="20.149999999999999" customHeight="1" x14ac:dyDescent="0.35">
      <c r="A6" s="66"/>
      <c r="B6" s="66"/>
      <c r="C6" s="66"/>
      <c r="D6" s="66"/>
      <c r="E6" s="68"/>
      <c r="F6" s="68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24" ht="30" customHeight="1" x14ac:dyDescent="0.35">
      <c r="A7" s="66"/>
      <c r="B7" s="63" t="s">
        <v>59</v>
      </c>
      <c r="C7" s="66"/>
      <c r="D7" s="64" t="s">
        <v>58</v>
      </c>
      <c r="E7" s="68"/>
      <c r="F7" s="64" t="s">
        <v>60</v>
      </c>
      <c r="G7" s="66"/>
      <c r="H7" s="64" t="s">
        <v>61</v>
      </c>
      <c r="I7" s="66"/>
      <c r="J7" s="64" t="s">
        <v>62</v>
      </c>
      <c r="K7" s="66"/>
      <c r="L7" s="64" t="s">
        <v>63</v>
      </c>
      <c r="M7" s="66"/>
      <c r="N7" s="64" t="s">
        <v>64</v>
      </c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ht="30" customHeight="1" x14ac:dyDescent="0.35">
      <c r="A8" s="66"/>
      <c r="B8" s="17"/>
      <c r="C8" s="66"/>
      <c r="D8" s="36">
        <f>+B8/1000</f>
        <v>0</v>
      </c>
      <c r="E8" s="68"/>
      <c r="F8" s="33">
        <f>B8*10</f>
        <v>0</v>
      </c>
      <c r="G8" s="66"/>
      <c r="H8" s="37">
        <f>ROUND((+$B$8/0.0036),0)</f>
        <v>0</v>
      </c>
      <c r="I8" s="66"/>
      <c r="J8" s="38">
        <f>ROUND((+$B$8/3.6),3)</f>
        <v>0</v>
      </c>
      <c r="K8" s="66"/>
      <c r="L8" s="39">
        <f>ROUND(J8/1000,6)</f>
        <v>0</v>
      </c>
      <c r="M8" s="66"/>
      <c r="N8" s="37">
        <f>ROUND(B8/0.01055056,0)</f>
        <v>0</v>
      </c>
      <c r="O8" s="66"/>
      <c r="P8" s="66"/>
      <c r="Q8" s="66"/>
      <c r="R8" s="66"/>
      <c r="S8" s="66"/>
      <c r="T8" s="66"/>
      <c r="U8" s="66"/>
      <c r="V8" s="66"/>
      <c r="W8" s="66"/>
      <c r="X8" s="66"/>
    </row>
    <row r="9" spans="1:24" ht="20.149999999999999" customHeight="1" x14ac:dyDescent="0.3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4" ht="30" customHeight="1" x14ac:dyDescent="0.35">
      <c r="A10" s="66"/>
      <c r="B10" s="63" t="s">
        <v>60</v>
      </c>
      <c r="C10" s="66"/>
      <c r="D10" s="64" t="s">
        <v>58</v>
      </c>
      <c r="E10" s="66"/>
      <c r="F10" s="64" t="s">
        <v>59</v>
      </c>
      <c r="G10" s="66"/>
      <c r="H10" s="64" t="s">
        <v>61</v>
      </c>
      <c r="I10" s="66"/>
      <c r="J10" s="64" t="s">
        <v>62</v>
      </c>
      <c r="K10" s="66"/>
      <c r="L10" s="64" t="s">
        <v>63</v>
      </c>
      <c r="M10" s="66"/>
      <c r="N10" s="64" t="s">
        <v>64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30" customHeight="1" x14ac:dyDescent="0.35">
      <c r="A11" s="66"/>
      <c r="B11" s="21"/>
      <c r="C11" s="66"/>
      <c r="D11" s="36">
        <f>ROUND(B11/10000,4)</f>
        <v>0</v>
      </c>
      <c r="E11" s="66"/>
      <c r="F11" s="5">
        <f>ROUND(B11/10,1)</f>
        <v>0</v>
      </c>
      <c r="G11" s="66"/>
      <c r="H11" s="37">
        <f>ROUND((+$B$11/0.036),0)</f>
        <v>0</v>
      </c>
      <c r="I11" s="66"/>
      <c r="J11" s="38">
        <f>ROUND((+$B$11/36),3)</f>
        <v>0</v>
      </c>
      <c r="K11" s="66"/>
      <c r="L11" s="39">
        <f>J11/1000</f>
        <v>0</v>
      </c>
      <c r="M11" s="66"/>
      <c r="N11" s="37">
        <f>ROUND(B11/1.055056,0)</f>
        <v>0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ht="20.149999999999999" customHeight="1" x14ac:dyDescent="0.3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ht="30" customHeight="1" x14ac:dyDescent="0.35">
      <c r="A13" s="66"/>
      <c r="B13" s="63" t="s">
        <v>61</v>
      </c>
      <c r="C13" s="66"/>
      <c r="D13" s="64" t="s">
        <v>58</v>
      </c>
      <c r="E13" s="66"/>
      <c r="F13" s="64" t="s">
        <v>59</v>
      </c>
      <c r="G13" s="66"/>
      <c r="H13" s="64" t="s">
        <v>60</v>
      </c>
      <c r="I13" s="66"/>
      <c r="J13" s="64" t="s">
        <v>62</v>
      </c>
      <c r="K13" s="66"/>
      <c r="L13" s="64" t="s">
        <v>63</v>
      </c>
      <c r="M13" s="66"/>
      <c r="N13" s="64" t="s">
        <v>64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ht="30" customHeight="1" x14ac:dyDescent="0.35">
      <c r="A14" s="66"/>
      <c r="B14" s="21"/>
      <c r="C14" s="66"/>
      <c r="D14" s="36">
        <f>B14*0.0000036</f>
        <v>0</v>
      </c>
      <c r="E14" s="66"/>
      <c r="F14" s="5">
        <f>ROUND(B14*0.0036,1)</f>
        <v>0</v>
      </c>
      <c r="G14" s="66"/>
      <c r="H14" s="37">
        <f>B14*0.036</f>
        <v>0</v>
      </c>
      <c r="I14" s="66"/>
      <c r="J14" s="38">
        <f>ROUND($B$14/1000,3)</f>
        <v>0</v>
      </c>
      <c r="K14" s="66"/>
      <c r="L14" s="39">
        <f>B14/1000000</f>
        <v>0</v>
      </c>
      <c r="M14" s="66"/>
      <c r="N14" s="37">
        <f>ROUND(+B14/29.3071,0)</f>
        <v>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ht="20.149999999999999" customHeight="1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spans="1:24" ht="30" customHeight="1" x14ac:dyDescent="0.35">
      <c r="A16" s="66"/>
      <c r="B16" s="63" t="s">
        <v>62</v>
      </c>
      <c r="C16" s="66"/>
      <c r="D16" s="64" t="s">
        <v>58</v>
      </c>
      <c r="E16" s="66"/>
      <c r="F16" s="64" t="s">
        <v>59</v>
      </c>
      <c r="G16" s="66"/>
      <c r="H16" s="64" t="s">
        <v>60</v>
      </c>
      <c r="I16" s="66"/>
      <c r="J16" s="64" t="s">
        <v>61</v>
      </c>
      <c r="K16" s="66"/>
      <c r="L16" s="64" t="s">
        <v>63</v>
      </c>
      <c r="M16" s="66"/>
      <c r="N16" s="64" t="s">
        <v>64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</row>
    <row r="17" spans="1:37" ht="30" customHeight="1" x14ac:dyDescent="0.35">
      <c r="A17" s="66"/>
      <c r="B17" s="21"/>
      <c r="C17" s="66"/>
      <c r="D17" s="36">
        <f>B17*0.0036</f>
        <v>0</v>
      </c>
      <c r="E17" s="66"/>
      <c r="F17" s="5">
        <f>ROUND(B17*3.6,1)</f>
        <v>0</v>
      </c>
      <c r="G17" s="66"/>
      <c r="H17" s="37">
        <f>B17*36</f>
        <v>0</v>
      </c>
      <c r="I17" s="66"/>
      <c r="J17" s="37">
        <f>ROUND($B$17*1000,0)</f>
        <v>0</v>
      </c>
      <c r="K17" s="66"/>
      <c r="L17" s="39">
        <f>B17/1000</f>
        <v>0</v>
      </c>
      <c r="M17" s="66"/>
      <c r="N17" s="37">
        <f>ROUND(+B17/0.0293071,0)</f>
        <v>0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1:37" ht="20.149999999999999" customHeight="1" x14ac:dyDescent="0.3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37" ht="30" customHeight="1" x14ac:dyDescent="0.35">
      <c r="A19" s="66"/>
      <c r="B19" s="63" t="s">
        <v>63</v>
      </c>
      <c r="C19" s="66"/>
      <c r="D19" s="64" t="s">
        <v>58</v>
      </c>
      <c r="E19" s="66"/>
      <c r="F19" s="64" t="s">
        <v>59</v>
      </c>
      <c r="G19" s="66"/>
      <c r="H19" s="64" t="s">
        <v>60</v>
      </c>
      <c r="I19" s="66"/>
      <c r="J19" s="64" t="s">
        <v>61</v>
      </c>
      <c r="K19" s="66"/>
      <c r="L19" s="64" t="s">
        <v>62</v>
      </c>
      <c r="M19" s="66"/>
      <c r="N19" s="64" t="s">
        <v>64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0" spans="1:37" ht="30" customHeight="1" x14ac:dyDescent="0.35">
      <c r="A20" s="66"/>
      <c r="B20" s="21"/>
      <c r="C20" s="66"/>
      <c r="D20" s="36">
        <f>ROUND(B20*3.6,4)</f>
        <v>0</v>
      </c>
      <c r="E20" s="66"/>
      <c r="F20" s="5">
        <f>ROUND(B20*3600,1)</f>
        <v>0</v>
      </c>
      <c r="G20" s="66"/>
      <c r="H20" s="37">
        <f>ROUND(B20*36000,0)</f>
        <v>0</v>
      </c>
      <c r="I20" s="66"/>
      <c r="J20" s="37">
        <f>ROUND($B$20*1000000,0)</f>
        <v>0</v>
      </c>
      <c r="K20" s="66"/>
      <c r="L20" s="38">
        <f>ROUND($B$20*1000,3)</f>
        <v>0</v>
      </c>
      <c r="M20" s="66"/>
      <c r="N20" s="37">
        <f>ROUND(+B20/0.0000293071,0)</f>
        <v>0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1:37" ht="20.149999999999999" customHeight="1" x14ac:dyDescent="0.3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1:37" ht="30" customHeight="1" x14ac:dyDescent="0.35">
      <c r="A22" s="66"/>
      <c r="B22" s="63" t="s">
        <v>64</v>
      </c>
      <c r="C22" s="66"/>
      <c r="D22" s="64" t="s">
        <v>58</v>
      </c>
      <c r="E22" s="66"/>
      <c r="F22" s="64" t="s">
        <v>59</v>
      </c>
      <c r="G22" s="66"/>
      <c r="H22" s="64" t="s">
        <v>60</v>
      </c>
      <c r="I22" s="66"/>
      <c r="J22" s="64" t="s">
        <v>61</v>
      </c>
      <c r="K22" s="66"/>
      <c r="L22" s="64" t="s">
        <v>62</v>
      </c>
      <c r="M22" s="66"/>
      <c r="N22" s="64" t="s">
        <v>63</v>
      </c>
      <c r="O22" s="66"/>
      <c r="P22" s="66"/>
      <c r="Q22" s="66"/>
      <c r="R22" s="66"/>
      <c r="S22" s="66"/>
      <c r="T22" s="66"/>
      <c r="U22" s="66"/>
      <c r="V22" s="66"/>
      <c r="W22" s="66"/>
      <c r="X22" s="66"/>
    </row>
    <row r="23" spans="1:37" ht="30" customHeight="1" x14ac:dyDescent="0.35">
      <c r="A23" s="66"/>
      <c r="B23" s="21"/>
      <c r="C23" s="66"/>
      <c r="D23" s="36">
        <f>ROUND(B23*0.0001055056,4)</f>
        <v>0</v>
      </c>
      <c r="E23" s="66"/>
      <c r="F23" s="5">
        <f>ROUND(+B23*0.1055056,1)</f>
        <v>0</v>
      </c>
      <c r="G23" s="66"/>
      <c r="H23" s="37">
        <f>ROUND(B23*1.055056,0)</f>
        <v>0</v>
      </c>
      <c r="I23" s="66"/>
      <c r="J23" s="37">
        <f>ROUND(+$B$23*29.3071,0)</f>
        <v>0</v>
      </c>
      <c r="K23" s="66"/>
      <c r="L23" s="38">
        <f>ROUND(++$B$23*0.0293071,3)</f>
        <v>0</v>
      </c>
      <c r="M23" s="66"/>
      <c r="N23" s="39">
        <f>ROUND(L23/1000,6)</f>
        <v>0</v>
      </c>
      <c r="O23" s="66"/>
      <c r="P23" s="66"/>
      <c r="Q23" s="66"/>
      <c r="R23" s="66"/>
      <c r="S23" s="66"/>
      <c r="T23" s="66"/>
      <c r="U23" s="66"/>
      <c r="V23" s="66"/>
      <c r="W23" s="66"/>
      <c r="X23" s="66"/>
    </row>
    <row r="24" spans="1:37" x14ac:dyDescent="0.3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37" x14ac:dyDescent="0.3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</row>
    <row r="26" spans="1:37" x14ac:dyDescent="0.3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37" x14ac:dyDescent="0.3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</row>
    <row r="28" spans="1:37" x14ac:dyDescent="0.3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</row>
    <row r="29" spans="1:37" x14ac:dyDescent="0.3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</row>
    <row r="30" spans="1:37" x14ac:dyDescent="0.3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</row>
    <row r="31" spans="1:37" x14ac:dyDescent="0.3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</row>
    <row r="32" spans="1:37" x14ac:dyDescent="0.3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</row>
    <row r="33" spans="1:37" x14ac:dyDescent="0.3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</row>
    <row r="34" spans="1:37" x14ac:dyDescent="0.3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</row>
    <row r="35" spans="1:37" x14ac:dyDescent="0.3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</row>
    <row r="36" spans="1:37" x14ac:dyDescent="0.3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</row>
    <row r="37" spans="1:37" x14ac:dyDescent="0.3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</row>
    <row r="38" spans="1:37" x14ac:dyDescent="0.3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</row>
    <row r="39" spans="1:37" x14ac:dyDescent="0.3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</row>
    <row r="40" spans="1:37" x14ac:dyDescent="0.3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</row>
    <row r="41" spans="1:37" x14ac:dyDescent="0.3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</row>
    <row r="42" spans="1:37" x14ac:dyDescent="0.3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</row>
    <row r="43" spans="1:37" x14ac:dyDescent="0.3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</row>
    <row r="44" spans="1:37" x14ac:dyDescent="0.3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</row>
    <row r="45" spans="1:37" x14ac:dyDescent="0.3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</row>
    <row r="46" spans="1:37" x14ac:dyDescent="0.3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</row>
    <row r="47" spans="1:37" x14ac:dyDescent="0.3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</row>
    <row r="48" spans="1:37" x14ac:dyDescent="0.3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</row>
    <row r="49" spans="1:37" x14ac:dyDescent="0.3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</row>
    <row r="50" spans="1:37" x14ac:dyDescent="0.3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</row>
    <row r="51" spans="1:37" x14ac:dyDescent="0.3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</row>
    <row r="52" spans="1:37" x14ac:dyDescent="0.3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</row>
    <row r="53" spans="1:37" x14ac:dyDescent="0.3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</row>
    <row r="54" spans="1:37" x14ac:dyDescent="0.3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</row>
    <row r="55" spans="1:37" x14ac:dyDescent="0.3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</row>
    <row r="56" spans="1:37" x14ac:dyDescent="0.3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</row>
    <row r="57" spans="1:37" x14ac:dyDescent="0.3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</row>
    <row r="58" spans="1:37" x14ac:dyDescent="0.3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</row>
    <row r="59" spans="1:37" x14ac:dyDescent="0.3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</row>
    <row r="60" spans="1:37" x14ac:dyDescent="0.3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</row>
    <row r="61" spans="1:37" x14ac:dyDescent="0.3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</row>
    <row r="62" spans="1:37" x14ac:dyDescent="0.3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</row>
    <row r="63" spans="1:37" x14ac:dyDescent="0.3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</row>
    <row r="64" spans="1:37" x14ac:dyDescent="0.3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</row>
    <row r="65" spans="1:37" x14ac:dyDescent="0.3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</row>
  </sheetData>
  <hyperlinks>
    <hyperlink ref="N2" location="Cockpit!A1" display="HOME" xr:uid="{F8420780-6239-4576-B086-8AD351B9BE0A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7592-463B-47A0-84BA-DAA0E523320A}">
  <sheetPr codeName="Sheet13">
    <tabColor rgb="FF00B050"/>
  </sheetPr>
  <dimension ref="A1:AI96"/>
  <sheetViews>
    <sheetView zoomScale="80" zoomScaleNormal="80" workbookViewId="0">
      <selection activeCell="L2" sqref="L2"/>
    </sheetView>
  </sheetViews>
  <sheetFormatPr defaultColWidth="18.54296875" defaultRowHeight="13" x14ac:dyDescent="0.35"/>
  <cols>
    <col min="1" max="1" width="9.6328125" style="40" customWidth="1"/>
    <col min="2" max="2" width="25.54296875" style="40" customWidth="1"/>
    <col min="3" max="3" width="4.54296875" style="40" customWidth="1"/>
    <col min="4" max="4" width="25.54296875" style="40" customWidth="1"/>
    <col min="5" max="5" width="4.54296875" style="40" customWidth="1"/>
    <col min="6" max="6" width="25.54296875" style="40" customWidth="1"/>
    <col min="7" max="7" width="4.54296875" style="40" customWidth="1"/>
    <col min="8" max="8" width="25.54296875" style="40" customWidth="1"/>
    <col min="9" max="9" width="4.54296875" style="40" customWidth="1"/>
    <col min="10" max="10" width="25.54296875" style="40" customWidth="1"/>
    <col min="11" max="11" width="4.54296875" style="40" customWidth="1"/>
    <col min="12" max="12" width="25.54296875" style="40" customWidth="1"/>
    <col min="13" max="13" width="3.54296875" style="40" customWidth="1"/>
    <col min="14" max="14" width="25.54296875" style="40" customWidth="1"/>
    <col min="15" max="22" width="18.54296875" style="40"/>
    <col min="23" max="23" width="16.08984375" style="40" customWidth="1"/>
    <col min="24" max="25" width="18.54296875" style="40" hidden="1" customWidth="1"/>
    <col min="26" max="16384" width="18.54296875" style="40"/>
  </cols>
  <sheetData>
    <row r="1" spans="1:35" ht="20.149999999999999" customHeight="1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1:35" ht="20.149999999999999" customHeight="1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114" t="s">
        <v>110</v>
      </c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5" ht="20.149999999999999" customHeight="1" x14ac:dyDescent="0.3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35" ht="30" customHeight="1" x14ac:dyDescent="0.35">
      <c r="A4" s="88"/>
      <c r="B4" s="86" t="s">
        <v>66</v>
      </c>
      <c r="C4" s="88"/>
      <c r="D4" s="87" t="s">
        <v>67</v>
      </c>
      <c r="E4" s="90" t="s">
        <v>65</v>
      </c>
      <c r="F4" s="87" t="s">
        <v>69</v>
      </c>
      <c r="G4" s="88"/>
      <c r="H4" s="87" t="s">
        <v>68</v>
      </c>
      <c r="I4" s="88"/>
      <c r="J4" s="87" t="s">
        <v>70</v>
      </c>
      <c r="K4" s="88"/>
      <c r="L4" s="87" t="s">
        <v>71</v>
      </c>
      <c r="M4" s="88"/>
      <c r="N4" s="89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</row>
    <row r="5" spans="1:35" ht="30" customHeight="1" x14ac:dyDescent="0.35">
      <c r="A5" s="88"/>
      <c r="B5" s="41"/>
      <c r="C5" s="88"/>
      <c r="D5" s="42">
        <f>ROUND(B5*1.055056,4)</f>
        <v>0</v>
      </c>
      <c r="E5" s="90"/>
      <c r="F5" s="42">
        <f>ROUND(B5/0.00293071,4)</f>
        <v>0</v>
      </c>
      <c r="G5" s="88"/>
      <c r="H5" s="43">
        <f>ROUND(B5/29.3071,6)</f>
        <v>0</v>
      </c>
      <c r="I5" s="88"/>
      <c r="J5" s="44">
        <f>ROUND(B5/0.01055056,2)</f>
        <v>0</v>
      </c>
      <c r="K5" s="88"/>
      <c r="L5" s="43">
        <f>B5/10.55056</f>
        <v>0</v>
      </c>
      <c r="M5" s="88"/>
      <c r="N5" s="89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</row>
    <row r="6" spans="1:35" x14ac:dyDescent="0.35">
      <c r="A6" s="88"/>
      <c r="B6" s="88"/>
      <c r="C6" s="88"/>
      <c r="D6" s="88"/>
      <c r="E6" s="89"/>
      <c r="F6" s="89"/>
      <c r="G6" s="88"/>
      <c r="H6" s="88"/>
      <c r="I6" s="88"/>
      <c r="J6" s="88"/>
      <c r="K6" s="88"/>
      <c r="L6" s="88"/>
      <c r="M6" s="88"/>
      <c r="N6" s="89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</row>
    <row r="7" spans="1:35" ht="30" customHeight="1" x14ac:dyDescent="0.35">
      <c r="A7" s="88"/>
      <c r="B7" s="86" t="s">
        <v>72</v>
      </c>
      <c r="C7" s="88"/>
      <c r="D7" s="87" t="s">
        <v>66</v>
      </c>
      <c r="E7" s="89"/>
      <c r="F7" s="87" t="s">
        <v>69</v>
      </c>
      <c r="G7" s="88"/>
      <c r="H7" s="87" t="s">
        <v>68</v>
      </c>
      <c r="I7" s="88"/>
      <c r="J7" s="87" t="s">
        <v>70</v>
      </c>
      <c r="K7" s="88"/>
      <c r="L7" s="87" t="s">
        <v>71</v>
      </c>
      <c r="M7" s="88"/>
      <c r="N7" s="89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</row>
    <row r="8" spans="1:35" ht="30" customHeight="1" x14ac:dyDescent="0.35">
      <c r="A8" s="88"/>
      <c r="B8" s="41"/>
      <c r="C8" s="88"/>
      <c r="D8" s="36">
        <f>ROUND(B8*1.055056,4)</f>
        <v>0</v>
      </c>
      <c r="E8" s="89"/>
      <c r="F8" s="42">
        <f>ROUND(B8*360,4)</f>
        <v>0</v>
      </c>
      <c r="G8" s="88"/>
      <c r="H8" s="45">
        <f>ROUND(B8*0.036,6)</f>
        <v>0</v>
      </c>
      <c r="I8" s="88"/>
      <c r="J8" s="46">
        <f>B8*100</f>
        <v>0</v>
      </c>
      <c r="K8" s="88"/>
      <c r="L8" s="45">
        <f>B8/10</f>
        <v>0</v>
      </c>
      <c r="M8" s="88"/>
      <c r="N8" s="89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x14ac:dyDescent="0.3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1:35" ht="30" customHeight="1" x14ac:dyDescent="0.35">
      <c r="A10" s="88"/>
      <c r="B10" s="86" t="s">
        <v>69</v>
      </c>
      <c r="C10" s="88"/>
      <c r="D10" s="87" t="s">
        <v>66</v>
      </c>
      <c r="E10" s="88"/>
      <c r="F10" s="87" t="s">
        <v>72</v>
      </c>
      <c r="G10" s="88"/>
      <c r="H10" s="87" t="s">
        <v>68</v>
      </c>
      <c r="I10" s="88"/>
      <c r="J10" s="87" t="s">
        <v>70</v>
      </c>
      <c r="K10" s="88"/>
      <c r="L10" s="87" t="s">
        <v>71</v>
      </c>
      <c r="M10" s="88"/>
      <c r="N10" s="89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</row>
    <row r="11" spans="1:35" ht="30" customHeight="1" x14ac:dyDescent="0.35">
      <c r="A11" s="88"/>
      <c r="B11" s="41"/>
      <c r="C11" s="88"/>
      <c r="D11" s="36">
        <f>ROUND(B11*0.00293071,4)</f>
        <v>0</v>
      </c>
      <c r="E11" s="88"/>
      <c r="F11" s="36">
        <f>ROUND(B11/360,4)</f>
        <v>0</v>
      </c>
      <c r="G11" s="88"/>
      <c r="H11" s="45">
        <f>ROUND(B11/10000,6)</f>
        <v>0</v>
      </c>
      <c r="I11" s="88"/>
      <c r="J11" s="46">
        <f>ROUND(B11/3.6,2)</f>
        <v>0</v>
      </c>
      <c r="K11" s="88"/>
      <c r="L11" s="45">
        <f>B11/3600</f>
        <v>0</v>
      </c>
      <c r="M11" s="88"/>
      <c r="N11" s="89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</row>
    <row r="12" spans="1:35" x14ac:dyDescent="0.3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</row>
    <row r="13" spans="1:35" ht="30" customHeight="1" x14ac:dyDescent="0.35">
      <c r="A13" s="88"/>
      <c r="B13" s="86" t="s">
        <v>73</v>
      </c>
      <c r="C13" s="88"/>
      <c r="D13" s="87" t="s">
        <v>66</v>
      </c>
      <c r="E13" s="88"/>
      <c r="F13" s="87" t="s">
        <v>72</v>
      </c>
      <c r="G13" s="88"/>
      <c r="H13" s="87" t="s">
        <v>69</v>
      </c>
      <c r="I13" s="88"/>
      <c r="J13" s="87" t="s">
        <v>70</v>
      </c>
      <c r="K13" s="88"/>
      <c r="L13" s="87" t="s">
        <v>71</v>
      </c>
      <c r="M13" s="88"/>
      <c r="N13" s="89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</row>
    <row r="14" spans="1:35" ht="30" customHeight="1" x14ac:dyDescent="0.35">
      <c r="A14" s="88"/>
      <c r="B14" s="41"/>
      <c r="C14" s="88"/>
      <c r="D14" s="36">
        <f>ROUND(B14*29.3071,4)</f>
        <v>0</v>
      </c>
      <c r="E14" s="88"/>
      <c r="F14" s="36">
        <f>ROUND(B14/0.036,4)</f>
        <v>0</v>
      </c>
      <c r="G14" s="88"/>
      <c r="H14" s="36">
        <f>ROUND(B14*10000,4)</f>
        <v>0</v>
      </c>
      <c r="I14" s="88"/>
      <c r="J14" s="46">
        <f>ROUND(B14/0.00036,2)</f>
        <v>0</v>
      </c>
      <c r="K14" s="88"/>
      <c r="L14" s="45">
        <f>B14/0.36</f>
        <v>0</v>
      </c>
      <c r="M14" s="88"/>
      <c r="N14" s="89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</row>
    <row r="15" spans="1:35" x14ac:dyDescent="0.3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</row>
    <row r="16" spans="1:35" ht="30" customHeight="1" x14ac:dyDescent="0.35">
      <c r="A16" s="88"/>
      <c r="B16" s="86" t="s">
        <v>70</v>
      </c>
      <c r="C16" s="88"/>
      <c r="D16" s="87" t="s">
        <v>66</v>
      </c>
      <c r="E16" s="88"/>
      <c r="F16" s="87" t="s">
        <v>72</v>
      </c>
      <c r="G16" s="88"/>
      <c r="H16" s="87" t="s">
        <v>69</v>
      </c>
      <c r="I16" s="88"/>
      <c r="J16" s="87" t="s">
        <v>73</v>
      </c>
      <c r="K16" s="88"/>
      <c r="L16" s="87" t="s">
        <v>71</v>
      </c>
      <c r="M16" s="88"/>
      <c r="N16" s="89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</row>
    <row r="17" spans="1:35" ht="30" customHeight="1" x14ac:dyDescent="0.35">
      <c r="A17" s="88"/>
      <c r="B17" s="41"/>
      <c r="C17" s="88"/>
      <c r="D17" s="36">
        <f>ROUND(B17*0.01055056,4)</f>
        <v>0</v>
      </c>
      <c r="E17" s="88"/>
      <c r="F17" s="36">
        <f>ROUND(B17/100,4)</f>
        <v>0</v>
      </c>
      <c r="G17" s="88"/>
      <c r="H17" s="36">
        <f>ROUND(B17*3.6,4)</f>
        <v>0</v>
      </c>
      <c r="I17" s="88"/>
      <c r="J17" s="45">
        <f>ROUND(B17*0.00036,6)</f>
        <v>0</v>
      </c>
      <c r="K17" s="88"/>
      <c r="L17" s="45">
        <f>B17/1000</f>
        <v>0</v>
      </c>
      <c r="M17" s="88"/>
      <c r="N17" s="89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</row>
    <row r="18" spans="1:35" x14ac:dyDescent="0.3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</row>
    <row r="19" spans="1:35" ht="30" customHeight="1" x14ac:dyDescent="0.35">
      <c r="A19" s="88"/>
      <c r="B19" s="86" t="s">
        <v>71</v>
      </c>
      <c r="C19" s="88"/>
      <c r="D19" s="87" t="s">
        <v>66</v>
      </c>
      <c r="E19" s="88"/>
      <c r="F19" s="87" t="s">
        <v>72</v>
      </c>
      <c r="G19" s="88"/>
      <c r="H19" s="87" t="s">
        <v>69</v>
      </c>
      <c r="I19" s="88"/>
      <c r="J19" s="87" t="s">
        <v>73</v>
      </c>
      <c r="K19" s="88"/>
      <c r="L19" s="87" t="s">
        <v>71</v>
      </c>
      <c r="M19" s="88"/>
      <c r="N19" s="89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</row>
    <row r="20" spans="1:35" ht="30" customHeight="1" x14ac:dyDescent="0.35">
      <c r="A20" s="88"/>
      <c r="B20" s="41"/>
      <c r="C20" s="88"/>
      <c r="D20" s="36">
        <f>ROUND(B20*10.55056,4)</f>
        <v>0</v>
      </c>
      <c r="E20" s="88"/>
      <c r="F20" s="36">
        <f>ROUND(B20*10,4)</f>
        <v>0</v>
      </c>
      <c r="G20" s="88"/>
      <c r="H20" s="36">
        <f>ROUND(B20*3600,4)</f>
        <v>0</v>
      </c>
      <c r="I20" s="88"/>
      <c r="J20" s="45">
        <f>ROUND(B20*0.36,6)</f>
        <v>0</v>
      </c>
      <c r="K20" s="88"/>
      <c r="L20" s="46">
        <f>B22*1000</f>
        <v>0</v>
      </c>
      <c r="M20" s="88"/>
      <c r="N20" s="89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</row>
    <row r="21" spans="1:35" x14ac:dyDescent="0.3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89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</row>
    <row r="22" spans="1:35" ht="30" customHeight="1" x14ac:dyDescent="0.3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89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</row>
    <row r="23" spans="1:35" ht="30" customHeight="1" x14ac:dyDescent="0.3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89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</row>
    <row r="24" spans="1:35" x14ac:dyDescent="0.3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89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</row>
    <row r="25" spans="1:35" x14ac:dyDescent="0.35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89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</row>
    <row r="26" spans="1:35" x14ac:dyDescent="0.3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</row>
    <row r="27" spans="1:35" x14ac:dyDescent="0.3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</row>
    <row r="28" spans="1:35" x14ac:dyDescent="0.3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</row>
    <row r="29" spans="1:35" x14ac:dyDescent="0.3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</row>
    <row r="30" spans="1:35" x14ac:dyDescent="0.3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</row>
    <row r="31" spans="1:35" x14ac:dyDescent="0.3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</row>
    <row r="32" spans="1:35" x14ac:dyDescent="0.3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</row>
    <row r="33" spans="1:34" x14ac:dyDescent="0.3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</row>
    <row r="34" spans="1:34" x14ac:dyDescent="0.3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</row>
    <row r="35" spans="1:34" x14ac:dyDescent="0.3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</row>
    <row r="36" spans="1:34" x14ac:dyDescent="0.3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</row>
    <row r="37" spans="1:34" x14ac:dyDescent="0.3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</row>
    <row r="38" spans="1:34" x14ac:dyDescent="0.3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</row>
    <row r="39" spans="1:34" x14ac:dyDescent="0.3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</row>
    <row r="40" spans="1:34" x14ac:dyDescent="0.3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</row>
    <row r="41" spans="1:34" x14ac:dyDescent="0.3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</row>
    <row r="42" spans="1:34" x14ac:dyDescent="0.3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</row>
    <row r="43" spans="1:34" x14ac:dyDescent="0.3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</row>
    <row r="44" spans="1:34" x14ac:dyDescent="0.3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</row>
    <row r="45" spans="1:34" x14ac:dyDescent="0.3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</row>
    <row r="46" spans="1:34" x14ac:dyDescent="0.3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</row>
    <row r="47" spans="1:34" x14ac:dyDescent="0.3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</row>
    <row r="48" spans="1:34" x14ac:dyDescent="0.3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</row>
    <row r="49" spans="1:34" x14ac:dyDescent="0.3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:34" x14ac:dyDescent="0.3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</row>
    <row r="51" spans="1:34" x14ac:dyDescent="0.3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</row>
    <row r="52" spans="1:34" x14ac:dyDescent="0.3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</row>
    <row r="53" spans="1:34" x14ac:dyDescent="0.3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</row>
    <row r="54" spans="1:34" x14ac:dyDescent="0.3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</row>
    <row r="55" spans="1:34" x14ac:dyDescent="0.3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</row>
    <row r="56" spans="1:34" x14ac:dyDescent="0.3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</row>
    <row r="57" spans="1:34" x14ac:dyDescent="0.3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</row>
    <row r="58" spans="1:34" x14ac:dyDescent="0.3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</row>
    <row r="59" spans="1:34" x14ac:dyDescent="0.3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</row>
    <row r="60" spans="1:34" x14ac:dyDescent="0.3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</row>
    <row r="61" spans="1:34" x14ac:dyDescent="0.3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</row>
    <row r="62" spans="1:34" x14ac:dyDescent="0.3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</row>
    <row r="63" spans="1:34" x14ac:dyDescent="0.3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</row>
    <row r="64" spans="1:34" x14ac:dyDescent="0.3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</row>
    <row r="65" spans="1:34" x14ac:dyDescent="0.3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</row>
    <row r="66" spans="1:34" x14ac:dyDescent="0.3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</row>
    <row r="67" spans="1:34" x14ac:dyDescent="0.3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</row>
    <row r="68" spans="1:34" x14ac:dyDescent="0.3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</row>
    <row r="69" spans="1:34" x14ac:dyDescent="0.3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</row>
    <row r="70" spans="1:34" x14ac:dyDescent="0.3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</row>
    <row r="71" spans="1:34" x14ac:dyDescent="0.3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</row>
    <row r="72" spans="1:34" x14ac:dyDescent="0.3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</row>
    <row r="73" spans="1:34" x14ac:dyDescent="0.3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</row>
    <row r="74" spans="1:34" x14ac:dyDescent="0.3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</row>
    <row r="75" spans="1:34" x14ac:dyDescent="0.3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</row>
    <row r="76" spans="1:34" x14ac:dyDescent="0.3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</row>
    <row r="77" spans="1:34" x14ac:dyDescent="0.35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</row>
    <row r="78" spans="1:34" x14ac:dyDescent="0.3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</row>
    <row r="79" spans="1:34" x14ac:dyDescent="0.3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</row>
    <row r="80" spans="1:34" x14ac:dyDescent="0.3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</row>
    <row r="81" spans="1:34" x14ac:dyDescent="0.35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</row>
    <row r="82" spans="1:34" x14ac:dyDescent="0.3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</row>
    <row r="83" spans="1:34" x14ac:dyDescent="0.35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</row>
    <row r="84" spans="1:34" x14ac:dyDescent="0.3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</row>
    <row r="85" spans="1:34" x14ac:dyDescent="0.3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</row>
    <row r="86" spans="1:34" x14ac:dyDescent="0.3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</row>
    <row r="87" spans="1:34" x14ac:dyDescent="0.3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</row>
    <row r="88" spans="1:34" x14ac:dyDescent="0.3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</row>
    <row r="89" spans="1:34" x14ac:dyDescent="0.3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</row>
    <row r="90" spans="1:34" x14ac:dyDescent="0.3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</row>
    <row r="91" spans="1:34" x14ac:dyDescent="0.3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</row>
    <row r="92" spans="1:34" x14ac:dyDescent="0.3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</row>
    <row r="93" spans="1:34" x14ac:dyDescent="0.3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</row>
    <row r="94" spans="1:34" x14ac:dyDescent="0.3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</row>
    <row r="95" spans="1:34" x14ac:dyDescent="0.3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</row>
    <row r="96" spans="1:34" x14ac:dyDescent="0.35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</row>
  </sheetData>
  <hyperlinks>
    <hyperlink ref="L2" location="Cockpit!A1" display="HOME" xr:uid="{86C6AC38-3168-4AD4-9097-F9DE2C3F30B5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112D-E8A0-4279-9EDA-816CB71A927D}">
  <sheetPr codeName="Sheet14">
    <tabColor rgb="FF00B050"/>
  </sheetPr>
  <dimension ref="A1:AJ68"/>
  <sheetViews>
    <sheetView zoomScale="59" zoomScaleNormal="59" workbookViewId="0">
      <selection activeCell="L2" sqref="L2"/>
    </sheetView>
  </sheetViews>
  <sheetFormatPr defaultColWidth="18.54296875" defaultRowHeight="13" x14ac:dyDescent="0.35"/>
  <cols>
    <col min="1" max="1" width="14" style="40" customWidth="1"/>
    <col min="2" max="2" width="25.54296875" style="40" customWidth="1"/>
    <col min="3" max="3" width="4.54296875" style="40" customWidth="1"/>
    <col min="4" max="4" width="25.54296875" style="40" customWidth="1"/>
    <col min="5" max="5" width="4.54296875" style="40" customWidth="1"/>
    <col min="6" max="6" width="25.54296875" style="40" customWidth="1"/>
    <col min="7" max="7" width="4.54296875" style="40" customWidth="1"/>
    <col min="8" max="8" width="25.54296875" style="40" customWidth="1"/>
    <col min="9" max="9" width="8.6328125" style="40" customWidth="1"/>
    <col min="10" max="10" width="29.81640625" style="40" customWidth="1"/>
    <col min="11" max="11" width="15.453125" style="40" customWidth="1"/>
    <col min="12" max="12" width="25.54296875" style="40" customWidth="1"/>
    <col min="13" max="13" width="3.54296875" style="40" customWidth="1"/>
    <col min="14" max="14" width="25.54296875" style="40" customWidth="1"/>
    <col min="15" max="22" width="18.54296875" style="40"/>
    <col min="23" max="23" width="16.08984375" style="40" customWidth="1"/>
    <col min="24" max="25" width="18.54296875" style="40" hidden="1" customWidth="1"/>
    <col min="26" max="16384" width="18.54296875" style="40"/>
  </cols>
  <sheetData>
    <row r="1" spans="1:36" ht="20.149999999999999" customHeight="1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</row>
    <row r="2" spans="1:36" ht="20.149999999999999" customHeight="1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114" t="s">
        <v>110</v>
      </c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</row>
    <row r="3" spans="1:36" ht="20.149999999999999" customHeight="1" x14ac:dyDescent="0.35">
      <c r="A3" s="88"/>
      <c r="B3" s="88"/>
      <c r="C3" s="88"/>
      <c r="D3" s="88"/>
      <c r="E3" s="88"/>
      <c r="F3" s="88"/>
      <c r="G3" s="88"/>
      <c r="H3" s="88"/>
      <c r="I3" s="68"/>
      <c r="J3" s="68"/>
      <c r="K3" s="68"/>
      <c r="L3" s="68"/>
      <c r="M3" s="88"/>
      <c r="N3" s="89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</row>
    <row r="4" spans="1:36" ht="30" customHeight="1" x14ac:dyDescent="0.35">
      <c r="A4" s="88"/>
      <c r="B4" s="86" t="s">
        <v>59</v>
      </c>
      <c r="C4" s="88"/>
      <c r="D4" s="87" t="s">
        <v>79</v>
      </c>
      <c r="E4" s="90" t="s">
        <v>65</v>
      </c>
      <c r="F4" s="87" t="s">
        <v>80</v>
      </c>
      <c r="G4" s="88"/>
      <c r="H4" s="87" t="s">
        <v>81</v>
      </c>
      <c r="I4" s="68"/>
      <c r="J4" s="49" t="s">
        <v>74</v>
      </c>
      <c r="K4" s="91"/>
      <c r="L4" s="68"/>
      <c r="M4" s="88"/>
      <c r="N4" s="89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1:36" ht="30" customHeight="1" x14ac:dyDescent="0.35">
      <c r="A5" s="88"/>
      <c r="B5" s="41"/>
      <c r="C5" s="88"/>
      <c r="D5" s="33">
        <f>ROUND((B5*1000)/$J$5,0)</f>
        <v>0</v>
      </c>
      <c r="E5" s="90"/>
      <c r="F5" s="43">
        <f>B5/($J$5*1000)</f>
        <v>0</v>
      </c>
      <c r="G5" s="88"/>
      <c r="H5" s="43">
        <f>ROUND(F5*35.9146,6)</f>
        <v>0</v>
      </c>
      <c r="I5" s="68"/>
      <c r="J5" s="107">
        <v>39</v>
      </c>
      <c r="K5" s="49" t="s">
        <v>75</v>
      </c>
      <c r="L5" s="68"/>
      <c r="M5" s="88"/>
      <c r="N5" s="89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</row>
    <row r="6" spans="1:36" x14ac:dyDescent="0.35">
      <c r="A6" s="88"/>
      <c r="B6" s="88"/>
      <c r="C6" s="88"/>
      <c r="D6" s="88"/>
      <c r="E6" s="89"/>
      <c r="F6" s="89"/>
      <c r="G6" s="88"/>
      <c r="H6" s="88"/>
      <c r="I6" s="68"/>
      <c r="J6" s="68"/>
      <c r="K6" s="68"/>
      <c r="L6" s="68"/>
      <c r="M6" s="88"/>
      <c r="N6" s="89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</row>
    <row r="7" spans="1:36" ht="30" customHeight="1" x14ac:dyDescent="0.35">
      <c r="A7" s="88"/>
      <c r="B7" s="86" t="s">
        <v>58</v>
      </c>
      <c r="C7" s="88"/>
      <c r="D7" s="87" t="s">
        <v>79</v>
      </c>
      <c r="E7" s="89"/>
      <c r="F7" s="87" t="s">
        <v>80</v>
      </c>
      <c r="G7" s="88"/>
      <c r="H7" s="87" t="s">
        <v>81</v>
      </c>
      <c r="I7" s="68"/>
      <c r="J7" s="68"/>
      <c r="K7" s="68"/>
      <c r="L7" s="68"/>
      <c r="M7" s="88"/>
      <c r="N7" s="89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</row>
    <row r="8" spans="1:36" ht="30" customHeight="1" x14ac:dyDescent="0.35">
      <c r="A8" s="88"/>
      <c r="B8" s="41"/>
      <c r="C8" s="88"/>
      <c r="D8" s="37">
        <f>ROUND((B8*1000000)/$J$5,0)</f>
        <v>0</v>
      </c>
      <c r="E8" s="89"/>
      <c r="F8" s="43"/>
      <c r="G8" s="88"/>
      <c r="H8" s="45">
        <f>ROUND(F8*35.9146,6)</f>
        <v>0</v>
      </c>
      <c r="I8" s="68"/>
      <c r="J8" s="49" t="s">
        <v>109</v>
      </c>
      <c r="K8" s="56"/>
      <c r="L8" s="68"/>
      <c r="M8" s="88"/>
      <c r="N8" s="89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</row>
    <row r="9" spans="1:36" ht="12" customHeight="1" x14ac:dyDescent="0.35">
      <c r="A9" s="88"/>
      <c r="B9" s="88"/>
      <c r="C9" s="88"/>
      <c r="D9" s="88"/>
      <c r="E9" s="88"/>
      <c r="F9" s="88"/>
      <c r="G9" s="88"/>
      <c r="H9" s="88"/>
      <c r="I9" s="68"/>
      <c r="J9" s="56"/>
      <c r="K9" s="56"/>
      <c r="L9" s="68"/>
      <c r="M9" s="88"/>
      <c r="N9" s="89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</row>
    <row r="10" spans="1:36" ht="30" customHeight="1" x14ac:dyDescent="0.3">
      <c r="A10" s="88"/>
      <c r="B10" s="86" t="s">
        <v>60</v>
      </c>
      <c r="C10" s="88"/>
      <c r="D10" s="87" t="s">
        <v>79</v>
      </c>
      <c r="E10" s="88"/>
      <c r="F10" s="87" t="s">
        <v>80</v>
      </c>
      <c r="G10" s="88"/>
      <c r="H10" s="87" t="s">
        <v>81</v>
      </c>
      <c r="I10" s="68"/>
      <c r="J10" s="108" t="s">
        <v>82</v>
      </c>
      <c r="K10" s="84"/>
      <c r="L10" s="68"/>
      <c r="M10" s="88"/>
      <c r="N10" s="89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</row>
    <row r="11" spans="1:36" ht="30" customHeight="1" x14ac:dyDescent="0.35">
      <c r="A11" s="88"/>
      <c r="B11" s="41"/>
      <c r="C11" s="88"/>
      <c r="D11" s="37">
        <f>ROUND((B11*100)/$J$5,0)</f>
        <v>0</v>
      </c>
      <c r="E11" s="88"/>
      <c r="F11" s="45">
        <f>B11/($J$5*10000)</f>
        <v>0</v>
      </c>
      <c r="G11" s="88"/>
      <c r="H11" s="45">
        <f>ROUND(F11*35.9146,6)</f>
        <v>0</v>
      </c>
      <c r="I11" s="68"/>
      <c r="J11" s="50">
        <v>1029.2</v>
      </c>
      <c r="K11" s="108" t="s">
        <v>83</v>
      </c>
      <c r="L11" s="68"/>
      <c r="M11" s="88"/>
      <c r="N11" s="89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</row>
    <row r="12" spans="1:36" x14ac:dyDescent="0.35">
      <c r="A12" s="88"/>
      <c r="B12" s="88"/>
      <c r="C12" s="88"/>
      <c r="D12" s="88"/>
      <c r="E12" s="88"/>
      <c r="F12" s="88"/>
      <c r="G12" s="88"/>
      <c r="H12" s="88"/>
      <c r="I12" s="68"/>
      <c r="J12" s="68"/>
      <c r="K12" s="68"/>
      <c r="L12" s="68"/>
      <c r="M12" s="88"/>
      <c r="N12" s="89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</row>
    <row r="13" spans="1:36" ht="30" customHeight="1" x14ac:dyDescent="0.3">
      <c r="A13" s="88"/>
      <c r="B13" s="86" t="s">
        <v>76</v>
      </c>
      <c r="C13" s="88"/>
      <c r="D13" s="87" t="s">
        <v>79</v>
      </c>
      <c r="E13" s="88"/>
      <c r="F13" s="87" t="s">
        <v>80</v>
      </c>
      <c r="G13" s="88"/>
      <c r="H13" s="87" t="s">
        <v>81</v>
      </c>
      <c r="I13" s="68"/>
      <c r="J13" s="108" t="s">
        <v>82</v>
      </c>
      <c r="K13" s="84"/>
      <c r="L13" s="68"/>
      <c r="M13" s="88"/>
      <c r="N13" s="89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</row>
    <row r="14" spans="1:36" ht="30" customHeight="1" x14ac:dyDescent="0.35">
      <c r="A14" s="88"/>
      <c r="B14" s="41"/>
      <c r="C14" s="88"/>
      <c r="D14" s="37">
        <f>ROUND((B14)/$J$5,0)</f>
        <v>0</v>
      </c>
      <c r="E14" s="88"/>
      <c r="F14" s="45">
        <f>B14/($J$5*1000000)</f>
        <v>0</v>
      </c>
      <c r="G14" s="88"/>
      <c r="H14" s="45">
        <f>ROUND(F14*35.9146,6)</f>
        <v>0</v>
      </c>
      <c r="I14" s="68"/>
      <c r="J14" s="107">
        <f>J11/26.38974359</f>
        <v>38.999999999621068</v>
      </c>
      <c r="K14" s="108" t="s">
        <v>75</v>
      </c>
      <c r="L14" s="68"/>
      <c r="M14" s="88"/>
      <c r="N14" s="89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</row>
    <row r="15" spans="1:36" x14ac:dyDescent="0.35">
      <c r="A15" s="88"/>
      <c r="B15" s="88"/>
      <c r="C15" s="88"/>
      <c r="D15" s="88"/>
      <c r="E15" s="88"/>
      <c r="F15" s="88"/>
      <c r="G15" s="88"/>
      <c r="H15" s="88"/>
      <c r="I15" s="68"/>
      <c r="J15" s="68"/>
      <c r="K15" s="68"/>
      <c r="L15" s="68"/>
      <c r="M15" s="88"/>
      <c r="N15" s="89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</row>
    <row r="16" spans="1:36" ht="30" customHeight="1" x14ac:dyDescent="0.35">
      <c r="A16" s="88"/>
      <c r="B16" s="86" t="s">
        <v>77</v>
      </c>
      <c r="C16" s="88"/>
      <c r="D16" s="87" t="s">
        <v>79</v>
      </c>
      <c r="E16" s="88"/>
      <c r="F16" s="87" t="s">
        <v>80</v>
      </c>
      <c r="G16" s="88"/>
      <c r="H16" s="87" t="s">
        <v>81</v>
      </c>
      <c r="I16" s="68"/>
      <c r="J16" s="68"/>
      <c r="K16" s="68"/>
      <c r="L16" s="68"/>
      <c r="M16" s="88"/>
      <c r="N16" s="89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</row>
    <row r="17" spans="1:36" ht="30" customHeight="1" x14ac:dyDescent="0.35">
      <c r="A17" s="88"/>
      <c r="B17" s="41"/>
      <c r="C17" s="88"/>
      <c r="D17" s="37">
        <f>ROUND((B17*3.6)/$J$5,0)</f>
        <v>0</v>
      </c>
      <c r="E17" s="88"/>
      <c r="F17" s="45">
        <f>(B17*0.036)/($J$5*10000)</f>
        <v>0</v>
      </c>
      <c r="G17" s="88"/>
      <c r="H17" s="45">
        <f>ROUND(F17*35.9146,6)</f>
        <v>0</v>
      </c>
      <c r="I17" s="68"/>
      <c r="J17" s="68"/>
      <c r="K17" s="68"/>
      <c r="L17" s="68"/>
      <c r="M17" s="88"/>
      <c r="N17" s="89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</row>
    <row r="18" spans="1:36" x14ac:dyDescent="0.35">
      <c r="A18" s="88"/>
      <c r="B18" s="88"/>
      <c r="C18" s="88"/>
      <c r="D18" s="88"/>
      <c r="E18" s="88"/>
      <c r="F18" s="88"/>
      <c r="G18" s="88"/>
      <c r="H18" s="88"/>
      <c r="I18" s="68"/>
      <c r="J18" s="68"/>
      <c r="K18" s="68"/>
      <c r="L18" s="68"/>
      <c r="M18" s="88"/>
      <c r="N18" s="89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</row>
    <row r="19" spans="1:36" ht="30" customHeight="1" x14ac:dyDescent="0.35">
      <c r="A19" s="88"/>
      <c r="B19" s="86" t="s">
        <v>63</v>
      </c>
      <c r="C19" s="88"/>
      <c r="D19" s="87" t="s">
        <v>79</v>
      </c>
      <c r="E19" s="88"/>
      <c r="F19" s="87" t="s">
        <v>80</v>
      </c>
      <c r="G19" s="88"/>
      <c r="H19" s="87" t="s">
        <v>81</v>
      </c>
      <c r="I19" s="68"/>
      <c r="J19" s="68"/>
      <c r="K19" s="68"/>
      <c r="L19" s="68"/>
      <c r="M19" s="88"/>
      <c r="N19" s="89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</row>
    <row r="20" spans="1:36" ht="30" customHeight="1" x14ac:dyDescent="0.35">
      <c r="A20" s="88"/>
      <c r="B20" s="41"/>
      <c r="C20" s="88"/>
      <c r="D20" s="37">
        <f>ROUND((B20*3600000)/$J$5,0)</f>
        <v>0</v>
      </c>
      <c r="E20" s="88"/>
      <c r="F20" s="45">
        <f>((B20*0.036)/($J$5*10000))*1000000</f>
        <v>0</v>
      </c>
      <c r="G20" s="88"/>
      <c r="H20" s="45">
        <f>ROUND(F20*35.9146,6)</f>
        <v>0</v>
      </c>
      <c r="I20" s="68"/>
      <c r="J20" s="68"/>
      <c r="K20" s="68"/>
      <c r="L20" s="68"/>
      <c r="M20" s="88"/>
      <c r="N20" s="89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</row>
    <row r="21" spans="1:36" x14ac:dyDescent="0.3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89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</row>
    <row r="22" spans="1:36" ht="30" customHeight="1" x14ac:dyDescent="0.35">
      <c r="A22" s="88"/>
      <c r="B22" s="86" t="s">
        <v>64</v>
      </c>
      <c r="C22" s="88"/>
      <c r="D22" s="87" t="s">
        <v>79</v>
      </c>
      <c r="E22" s="88"/>
      <c r="F22" s="87" t="s">
        <v>80</v>
      </c>
      <c r="G22" s="88"/>
      <c r="H22" s="87" t="s">
        <v>81</v>
      </c>
      <c r="I22" s="68"/>
      <c r="J22" s="68"/>
      <c r="K22" s="68"/>
      <c r="L22" s="68"/>
      <c r="M22" s="68"/>
      <c r="N22" s="89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</row>
    <row r="23" spans="1:36" ht="30" customHeight="1" x14ac:dyDescent="0.35">
      <c r="A23" s="88"/>
      <c r="B23" s="41"/>
      <c r="C23" s="88"/>
      <c r="D23" s="37">
        <f>B23*1000000</f>
        <v>0</v>
      </c>
      <c r="E23" s="88"/>
      <c r="F23" s="45">
        <f>B23*2.77778</f>
        <v>0</v>
      </c>
      <c r="G23" s="88"/>
      <c r="H23" s="45">
        <f>B23*0.0969</f>
        <v>0</v>
      </c>
      <c r="I23" s="68"/>
      <c r="J23" s="68"/>
      <c r="K23" s="68"/>
      <c r="L23" s="68"/>
      <c r="M23" s="68"/>
      <c r="N23" s="89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</row>
    <row r="24" spans="1:36" ht="15" customHeight="1" x14ac:dyDescent="0.35">
      <c r="A24" s="88"/>
      <c r="B24" s="88"/>
      <c r="C24" s="88"/>
      <c r="D24" s="88"/>
      <c r="E24" s="88"/>
      <c r="F24" s="88"/>
      <c r="G24" s="88"/>
      <c r="H24" s="88"/>
      <c r="I24" s="68"/>
      <c r="J24" s="68"/>
      <c r="K24" s="68"/>
      <c r="L24" s="68"/>
      <c r="M24" s="68"/>
      <c r="N24" s="89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</row>
    <row r="25" spans="1:36" ht="30" customHeight="1" x14ac:dyDescent="0.35">
      <c r="A25" s="88"/>
      <c r="B25" s="86" t="s">
        <v>78</v>
      </c>
      <c r="C25" s="88"/>
      <c r="D25" s="87" t="s">
        <v>79</v>
      </c>
      <c r="E25" s="88"/>
      <c r="F25" s="87" t="s">
        <v>80</v>
      </c>
      <c r="G25" s="88"/>
      <c r="H25" s="87" t="s">
        <v>81</v>
      </c>
      <c r="I25" s="68"/>
      <c r="J25" s="68"/>
      <c r="K25" s="68"/>
      <c r="L25" s="68"/>
      <c r="M25" s="68"/>
      <c r="N25" s="89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</row>
    <row r="26" spans="1:36" ht="30" customHeight="1" x14ac:dyDescent="0.35">
      <c r="A26" s="88"/>
      <c r="B26" s="41"/>
      <c r="C26" s="88"/>
      <c r="D26" s="37">
        <f>B26*1000000</f>
        <v>0</v>
      </c>
      <c r="E26" s="88"/>
      <c r="F26" s="45">
        <f>B26*2.7778</f>
        <v>0</v>
      </c>
      <c r="G26" s="88"/>
      <c r="H26" s="45">
        <f>B26*0.0969</f>
        <v>0</v>
      </c>
      <c r="I26" s="68"/>
      <c r="J26" s="68"/>
      <c r="K26" s="68"/>
      <c r="L26" s="68"/>
      <c r="M26" s="6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</row>
    <row r="27" spans="1:36" x14ac:dyDescent="0.3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</row>
    <row r="28" spans="1:36" x14ac:dyDescent="0.3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</row>
    <row r="29" spans="1:36" x14ac:dyDescent="0.3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</row>
    <row r="30" spans="1:36" x14ac:dyDescent="0.3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</row>
    <row r="31" spans="1:36" x14ac:dyDescent="0.3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</row>
    <row r="32" spans="1:36" x14ac:dyDescent="0.3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</row>
    <row r="33" spans="1:36" x14ac:dyDescent="0.3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</row>
    <row r="34" spans="1:36" x14ac:dyDescent="0.3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</row>
    <row r="35" spans="1:36" x14ac:dyDescent="0.3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</row>
    <row r="36" spans="1:36" x14ac:dyDescent="0.3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</row>
    <row r="37" spans="1:36" x14ac:dyDescent="0.3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36" x14ac:dyDescent="0.3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</row>
    <row r="39" spans="1:36" x14ac:dyDescent="0.3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</row>
    <row r="40" spans="1:36" x14ac:dyDescent="0.3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1:36" x14ac:dyDescent="0.3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</row>
    <row r="42" spans="1:36" x14ac:dyDescent="0.3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</row>
    <row r="43" spans="1:36" x14ac:dyDescent="0.3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</row>
    <row r="44" spans="1:36" x14ac:dyDescent="0.3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</row>
    <row r="45" spans="1:36" x14ac:dyDescent="0.3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</row>
    <row r="46" spans="1:36" x14ac:dyDescent="0.3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</row>
    <row r="47" spans="1:36" x14ac:dyDescent="0.3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</row>
    <row r="48" spans="1:36" x14ac:dyDescent="0.3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</row>
    <row r="49" spans="1:36" x14ac:dyDescent="0.3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</row>
    <row r="50" spans="1:36" x14ac:dyDescent="0.3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</row>
    <row r="51" spans="1:36" x14ac:dyDescent="0.3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</row>
    <row r="52" spans="1:36" x14ac:dyDescent="0.3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x14ac:dyDescent="0.3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</row>
    <row r="54" spans="1:36" x14ac:dyDescent="0.3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</row>
    <row r="55" spans="1:36" x14ac:dyDescent="0.3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</row>
    <row r="56" spans="1:36" x14ac:dyDescent="0.3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</row>
    <row r="57" spans="1:36" x14ac:dyDescent="0.3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</row>
    <row r="58" spans="1:36" x14ac:dyDescent="0.3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</row>
    <row r="59" spans="1:36" x14ac:dyDescent="0.3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</row>
    <row r="60" spans="1:36" x14ac:dyDescent="0.3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</row>
    <row r="61" spans="1:36" x14ac:dyDescent="0.3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</row>
    <row r="62" spans="1:36" x14ac:dyDescent="0.3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</row>
    <row r="63" spans="1:36" x14ac:dyDescent="0.3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</row>
    <row r="64" spans="1:36" x14ac:dyDescent="0.3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</row>
    <row r="65" spans="1:36" x14ac:dyDescent="0.3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</row>
    <row r="66" spans="1:36" x14ac:dyDescent="0.3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</row>
    <row r="67" spans="1:36" x14ac:dyDescent="0.3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</row>
    <row r="68" spans="1:36" x14ac:dyDescent="0.3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</row>
  </sheetData>
  <hyperlinks>
    <hyperlink ref="L2" location="Cockpit!A1" display="HOME" xr:uid="{B681A0DD-781F-47D1-8950-3FF393E40DEF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A38D-9CB3-4C5A-A644-E1A71815FB6A}">
  <sheetPr codeName="Sheet15">
    <tabColor rgb="FF00B0F0"/>
  </sheetPr>
  <dimension ref="A1:AD43"/>
  <sheetViews>
    <sheetView zoomScale="70" zoomScaleNormal="70" workbookViewId="0">
      <selection activeCell="P10" sqref="P10"/>
    </sheetView>
  </sheetViews>
  <sheetFormatPr defaultColWidth="18.54296875" defaultRowHeight="14" x14ac:dyDescent="0.35"/>
  <cols>
    <col min="1" max="1" width="14" style="52" customWidth="1"/>
    <col min="2" max="2" width="25.54296875" style="52" customWidth="1"/>
    <col min="3" max="3" width="3.54296875" style="52" customWidth="1"/>
    <col min="4" max="4" width="25.54296875" style="52" customWidth="1"/>
    <col min="5" max="5" width="3.54296875" style="52" customWidth="1"/>
    <col min="6" max="6" width="25.54296875" style="52" customWidth="1"/>
    <col min="7" max="7" width="3.54296875" style="52" customWidth="1"/>
    <col min="8" max="8" width="25.54296875" style="52" customWidth="1"/>
    <col min="9" max="9" width="3.54296875" style="52" customWidth="1"/>
    <col min="10" max="10" width="25.54296875" style="52" customWidth="1"/>
    <col min="11" max="11" width="3.54296875" style="52" customWidth="1"/>
    <col min="12" max="12" width="30.54296875" style="52" customWidth="1"/>
    <col min="13" max="13" width="8.6328125" style="52" customWidth="1"/>
    <col min="14" max="14" width="25.36328125" style="52" customWidth="1"/>
    <col min="15" max="15" width="16.81640625" style="52" customWidth="1"/>
    <col min="16" max="16" width="18.08984375" style="52" customWidth="1"/>
    <col min="17" max="17" width="3.54296875" style="52" customWidth="1"/>
    <col min="18" max="18" width="25.54296875" style="52" customWidth="1"/>
    <col min="19" max="26" width="18.54296875" style="52"/>
    <col min="27" max="27" width="16.08984375" style="52" customWidth="1"/>
    <col min="28" max="29" width="18.54296875" style="52" hidden="1" customWidth="1"/>
    <col min="30" max="16384" width="18.54296875" style="52"/>
  </cols>
  <sheetData>
    <row r="1" spans="1:30" ht="20.149999999999999" customHeight="1" x14ac:dyDescent="0.3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ht="20.149999999999999" customHeight="1" x14ac:dyDescent="0.3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 ht="20.149999999999999" customHeight="1" x14ac:dyDescent="0.35">
      <c r="A3" s="95"/>
      <c r="B3" s="95"/>
      <c r="C3" s="95"/>
      <c r="D3" s="95"/>
      <c r="E3" s="95"/>
      <c r="F3" s="95"/>
      <c r="G3" s="95"/>
      <c r="H3" s="95"/>
      <c r="I3" s="94"/>
      <c r="J3" s="94"/>
      <c r="K3" s="94"/>
      <c r="L3" s="94"/>
      <c r="M3" s="94"/>
      <c r="N3" s="94"/>
      <c r="O3" s="94"/>
      <c r="P3" s="94"/>
      <c r="Q3" s="95"/>
      <c r="R3" s="96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1:30" ht="30" customHeight="1" x14ac:dyDescent="0.35">
      <c r="A4" s="95"/>
      <c r="B4" s="92" t="s">
        <v>84</v>
      </c>
      <c r="C4" s="95"/>
      <c r="D4" s="93" t="s">
        <v>64</v>
      </c>
      <c r="E4" s="97" t="s">
        <v>65</v>
      </c>
      <c r="F4" s="93" t="s">
        <v>58</v>
      </c>
      <c r="G4" s="95"/>
      <c r="H4" s="93" t="s">
        <v>59</v>
      </c>
      <c r="I4" s="94"/>
      <c r="J4" s="93" t="s">
        <v>77</v>
      </c>
      <c r="K4" s="94"/>
      <c r="L4" s="93" t="s">
        <v>63</v>
      </c>
      <c r="M4" s="94"/>
      <c r="N4" s="49" t="s">
        <v>74</v>
      </c>
      <c r="O4" s="94"/>
      <c r="P4" s="94"/>
      <c r="Q4" s="95"/>
      <c r="R4" s="96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1:30" ht="30" customHeight="1" x14ac:dyDescent="0.35">
      <c r="A5" s="95"/>
      <c r="B5" s="53"/>
      <c r="C5" s="95"/>
      <c r="D5" s="30">
        <f>N5*26.389*B5*10</f>
        <v>0</v>
      </c>
      <c r="E5" s="97"/>
      <c r="F5" s="54">
        <f>B5/($N$5*1000)</f>
        <v>0</v>
      </c>
      <c r="G5" s="95"/>
      <c r="H5" s="29">
        <f>ROUND(F5*35.9146,6)</f>
        <v>0</v>
      </c>
      <c r="I5" s="94"/>
      <c r="J5" s="30">
        <f>ROUND(H5*35.9146,6)</f>
        <v>0</v>
      </c>
      <c r="K5" s="94"/>
      <c r="L5" s="54">
        <f>ROUND(J5*35.9146,6)</f>
        <v>0</v>
      </c>
      <c r="M5" s="94"/>
      <c r="N5" s="50">
        <v>39</v>
      </c>
      <c r="O5" s="49" t="s">
        <v>75</v>
      </c>
      <c r="P5" s="94"/>
      <c r="Q5" s="95"/>
      <c r="R5" s="96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</row>
    <row r="6" spans="1:30" x14ac:dyDescent="0.35">
      <c r="A6" s="95"/>
      <c r="B6" s="95"/>
      <c r="C6" s="95"/>
      <c r="D6" s="95"/>
      <c r="E6" s="96"/>
      <c r="F6" s="96"/>
      <c r="G6" s="95"/>
      <c r="H6" s="95"/>
      <c r="I6" s="94"/>
      <c r="J6" s="95"/>
      <c r="K6" s="94"/>
      <c r="L6" s="95"/>
      <c r="M6" s="94"/>
      <c r="N6" s="94"/>
      <c r="O6" s="94"/>
      <c r="P6" s="94"/>
      <c r="Q6" s="95"/>
      <c r="R6" s="96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ht="30" customHeight="1" x14ac:dyDescent="0.35">
      <c r="A7" s="95"/>
      <c r="B7" s="92" t="s">
        <v>85</v>
      </c>
      <c r="C7" s="95"/>
      <c r="D7" s="93" t="s">
        <v>64</v>
      </c>
      <c r="E7" s="96"/>
      <c r="F7" s="93" t="s">
        <v>58</v>
      </c>
      <c r="G7" s="95"/>
      <c r="H7" s="93" t="s">
        <v>59</v>
      </c>
      <c r="I7" s="94"/>
      <c r="J7" s="93" t="s">
        <v>77</v>
      </c>
      <c r="K7" s="94"/>
      <c r="L7" s="93" t="s">
        <v>63</v>
      </c>
      <c r="M7" s="94"/>
      <c r="N7" s="49" t="s">
        <v>82</v>
      </c>
      <c r="O7" s="94"/>
      <c r="P7" s="94"/>
      <c r="Q7" s="95"/>
      <c r="R7" s="96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</row>
    <row r="8" spans="1:30" ht="30" customHeight="1" x14ac:dyDescent="0.35">
      <c r="A8" s="95"/>
      <c r="B8" s="53"/>
      <c r="C8" s="95"/>
      <c r="D8" s="31">
        <f>B8*N5*26.389/100000</f>
        <v>0</v>
      </c>
      <c r="E8" s="96"/>
      <c r="F8" s="54">
        <f>B8/($N$5)</f>
        <v>0</v>
      </c>
      <c r="G8" s="95"/>
      <c r="H8" s="32">
        <f>ROUND(F8*35.9146,6)</f>
        <v>0</v>
      </c>
      <c r="I8" s="94"/>
      <c r="J8" s="31">
        <f>ROUND(H8*35.9146,6)</f>
        <v>0</v>
      </c>
      <c r="K8" s="94"/>
      <c r="L8" s="55">
        <f>ROUND(J8*35.9146,6)</f>
        <v>0</v>
      </c>
      <c r="M8" s="94"/>
      <c r="N8" s="50">
        <v>1029.2</v>
      </c>
      <c r="O8" s="51" t="s">
        <v>83</v>
      </c>
      <c r="P8" s="94"/>
      <c r="Q8" s="95"/>
      <c r="R8" s="96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</row>
    <row r="9" spans="1:30" x14ac:dyDescent="0.35">
      <c r="A9" s="95"/>
      <c r="B9" s="95"/>
      <c r="C9" s="95"/>
      <c r="D9" s="95"/>
      <c r="E9" s="95"/>
      <c r="F9" s="95"/>
      <c r="G9" s="95"/>
      <c r="H9" s="95"/>
      <c r="I9" s="94"/>
      <c r="J9" s="95"/>
      <c r="K9" s="94"/>
      <c r="L9" s="95"/>
      <c r="M9" s="94"/>
      <c r="N9" s="94"/>
      <c r="O9" s="94"/>
      <c r="P9" s="94"/>
      <c r="Q9" s="95"/>
      <c r="R9" s="96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</row>
    <row r="10" spans="1:30" ht="30" customHeight="1" x14ac:dyDescent="0.35">
      <c r="A10" s="95"/>
      <c r="B10" s="92" t="s">
        <v>86</v>
      </c>
      <c r="C10" s="95"/>
      <c r="D10" s="93" t="s">
        <v>64</v>
      </c>
      <c r="E10" s="95"/>
      <c r="F10" s="93" t="s">
        <v>58</v>
      </c>
      <c r="G10" s="95"/>
      <c r="H10" s="93" t="s">
        <v>59</v>
      </c>
      <c r="I10" s="94"/>
      <c r="J10" s="93" t="s">
        <v>77</v>
      </c>
      <c r="K10" s="94"/>
      <c r="L10" s="93" t="s">
        <v>63</v>
      </c>
      <c r="M10" s="94"/>
      <c r="N10" s="94"/>
      <c r="O10" s="94"/>
      <c r="P10" s="94"/>
      <c r="Q10" s="95"/>
      <c r="R10" s="96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</row>
    <row r="11" spans="1:30" ht="30" customHeight="1" x14ac:dyDescent="0.35">
      <c r="A11" s="95"/>
      <c r="B11" s="53"/>
      <c r="C11" s="95"/>
      <c r="D11" s="31">
        <f>ROUND(J11/29.3071,0)</f>
        <v>0</v>
      </c>
      <c r="E11" s="95"/>
      <c r="F11" s="55">
        <f>B11*N5</f>
        <v>0</v>
      </c>
      <c r="G11" s="95"/>
      <c r="H11" s="32">
        <f>B11*N5*1000</f>
        <v>0</v>
      </c>
      <c r="I11" s="94"/>
      <c r="J11" s="31">
        <f>ROUND(F11/0.0000036,0)</f>
        <v>0</v>
      </c>
      <c r="K11" s="94"/>
      <c r="L11" s="55">
        <f>J11/1000000</f>
        <v>0</v>
      </c>
      <c r="M11" s="94"/>
      <c r="N11" s="94"/>
      <c r="O11" s="94"/>
      <c r="P11" s="94"/>
      <c r="Q11" s="95"/>
      <c r="R11" s="96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</row>
    <row r="12" spans="1:30" x14ac:dyDescent="0.35">
      <c r="A12" s="95"/>
      <c r="B12" s="95"/>
      <c r="C12" s="95"/>
      <c r="D12" s="95"/>
      <c r="E12" s="95"/>
      <c r="F12" s="95"/>
      <c r="G12" s="95"/>
      <c r="H12" s="95"/>
      <c r="I12" s="94"/>
      <c r="J12" s="95"/>
      <c r="K12" s="94"/>
      <c r="L12" s="95"/>
      <c r="M12" s="94"/>
      <c r="N12" s="94"/>
      <c r="O12" s="94"/>
      <c r="P12" s="94"/>
      <c r="Q12" s="95"/>
      <c r="R12" s="96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</row>
    <row r="13" spans="1:30" ht="30" customHeight="1" x14ac:dyDescent="0.35">
      <c r="A13" s="95"/>
      <c r="B13" s="92" t="s">
        <v>87</v>
      </c>
      <c r="C13" s="95"/>
      <c r="D13" s="93" t="s">
        <v>64</v>
      </c>
      <c r="E13" s="95"/>
      <c r="F13" s="93" t="s">
        <v>58</v>
      </c>
      <c r="G13" s="95"/>
      <c r="H13" s="93" t="s">
        <v>59</v>
      </c>
      <c r="I13" s="94"/>
      <c r="J13" s="93" t="s">
        <v>77</v>
      </c>
      <c r="K13" s="94"/>
      <c r="L13" s="93" t="s">
        <v>63</v>
      </c>
      <c r="M13" s="94"/>
      <c r="N13" s="94"/>
      <c r="O13" s="94"/>
      <c r="P13" s="94"/>
      <c r="Q13" s="95"/>
      <c r="R13" s="96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spans="1:30" ht="30" customHeight="1" x14ac:dyDescent="0.35">
      <c r="A14" s="95"/>
      <c r="B14" s="53"/>
      <c r="C14" s="95"/>
      <c r="D14" s="31">
        <f>ROUND(J14/29.3071,0)</f>
        <v>0</v>
      </c>
      <c r="E14" s="95"/>
      <c r="F14" s="55">
        <f>(B14*N5)/1000000</f>
        <v>0</v>
      </c>
      <c r="G14" s="95"/>
      <c r="H14" s="32">
        <f>F14*1000</f>
        <v>0</v>
      </c>
      <c r="I14" s="94"/>
      <c r="J14" s="31">
        <f>ROUND(F14/0.0000036,0)</f>
        <v>0</v>
      </c>
      <c r="K14" s="94"/>
      <c r="L14" s="55">
        <f>J14/1000000</f>
        <v>0</v>
      </c>
      <c r="M14" s="94"/>
      <c r="N14" s="94"/>
      <c r="O14" s="94"/>
      <c r="P14" s="94"/>
      <c r="Q14" s="95"/>
      <c r="R14" s="96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</row>
    <row r="15" spans="1:30" x14ac:dyDescent="0.35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5"/>
      <c r="R15" s="96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1:30" ht="30" customHeight="1" x14ac:dyDescent="0.35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/>
      <c r="R16" s="96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</row>
    <row r="17" spans="1:30" ht="30" customHeight="1" x14ac:dyDescent="0.35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/>
      <c r="R17" s="96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</row>
    <row r="18" spans="1:30" x14ac:dyDescent="0.35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5"/>
      <c r="R18" s="96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</row>
    <row r="19" spans="1:30" ht="30" customHeight="1" x14ac:dyDescent="0.35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5"/>
      <c r="R19" s="96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</row>
    <row r="20" spans="1:30" ht="30" customHeight="1" x14ac:dyDescent="0.3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5"/>
      <c r="R20" s="96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</row>
    <row r="21" spans="1:30" x14ac:dyDescent="0.35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6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</row>
    <row r="22" spans="1:30" ht="30" customHeight="1" x14ac:dyDescent="0.35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6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</row>
    <row r="23" spans="1:30" ht="30" customHeight="1" x14ac:dyDescent="0.35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6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</row>
    <row r="24" spans="1:30" ht="15" customHeight="1" x14ac:dyDescent="0.35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6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spans="1:30" ht="30" customHeight="1" x14ac:dyDescent="0.3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6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 ht="30" customHeight="1" x14ac:dyDescent="0.35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</row>
    <row r="27" spans="1:30" x14ac:dyDescent="0.3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</row>
    <row r="28" spans="1:30" x14ac:dyDescent="0.3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</row>
    <row r="29" spans="1:30" x14ac:dyDescent="0.3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0" x14ac:dyDescent="0.3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0" x14ac:dyDescent="0.3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30" x14ac:dyDescent="0.3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x14ac:dyDescent="0.3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x14ac:dyDescent="0.3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</row>
    <row r="35" spans="1:30" x14ac:dyDescent="0.3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x14ac:dyDescent="0.3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7" spans="1:30" x14ac:dyDescent="0.3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 x14ac:dyDescent="0.3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</row>
    <row r="39" spans="1:30" x14ac:dyDescent="0.3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</row>
    <row r="40" spans="1:30" x14ac:dyDescent="0.3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x14ac:dyDescent="0.3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x14ac:dyDescent="0.3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</row>
    <row r="43" spans="1:30" x14ac:dyDescent="0.3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4A99-333E-470C-894B-AA51AE41FEC4}">
  <sheetPr codeName="Sheet16">
    <tabColor rgb="FF00B0F0"/>
  </sheetPr>
  <dimension ref="A1:Z43"/>
  <sheetViews>
    <sheetView zoomScale="70" zoomScaleNormal="70" workbookViewId="0">
      <selection activeCell="J5" sqref="J5"/>
    </sheetView>
  </sheetViews>
  <sheetFormatPr defaultColWidth="18.54296875" defaultRowHeight="13" x14ac:dyDescent="0.35"/>
  <cols>
    <col min="1" max="1" width="14" style="40" customWidth="1"/>
    <col min="2" max="2" width="25.54296875" style="40" customWidth="1"/>
    <col min="3" max="3" width="3.54296875" style="40" customWidth="1"/>
    <col min="4" max="4" width="25.54296875" style="40" customWidth="1"/>
    <col min="5" max="5" width="3.54296875" style="40" customWidth="1"/>
    <col min="6" max="6" width="10" style="40" customWidth="1"/>
    <col min="7" max="7" width="3.54296875" style="40" hidden="1" customWidth="1"/>
    <col min="8" max="8" width="7" style="40" hidden="1" customWidth="1"/>
    <col min="9" max="9" width="8.6328125" style="40" customWidth="1"/>
    <col min="10" max="10" width="21.81640625" style="40" customWidth="1"/>
    <col min="11" max="11" width="14.54296875" style="40" customWidth="1"/>
    <col min="12" max="12" width="10.36328125" style="40" customWidth="1"/>
    <col min="13" max="13" width="3.54296875" style="40" customWidth="1"/>
    <col min="14" max="14" width="25.54296875" style="40" customWidth="1"/>
    <col min="15" max="22" width="18.54296875" style="40"/>
    <col min="23" max="23" width="16.08984375" style="40" customWidth="1"/>
    <col min="24" max="25" width="18.54296875" style="40" hidden="1" customWidth="1"/>
    <col min="26" max="16384" width="18.54296875" style="40"/>
  </cols>
  <sheetData>
    <row r="1" spans="1:26" ht="20.149999999999999" customHeight="1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20.149999999999999" customHeight="1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 ht="40.25" customHeight="1" x14ac:dyDescent="0.35">
      <c r="A3" s="88"/>
      <c r="B3" s="88"/>
      <c r="C3" s="88"/>
      <c r="D3" s="88"/>
      <c r="E3" s="88"/>
      <c r="F3" s="88"/>
      <c r="G3" s="88"/>
      <c r="H3" s="88"/>
      <c r="I3" s="66"/>
      <c r="J3" s="66"/>
      <c r="K3" s="66"/>
      <c r="L3" s="66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ht="30" customHeight="1" x14ac:dyDescent="0.35">
      <c r="A4" s="88"/>
      <c r="B4" s="86" t="s">
        <v>66</v>
      </c>
      <c r="C4" s="88"/>
      <c r="D4" s="87" t="s">
        <v>90</v>
      </c>
      <c r="E4" s="66"/>
      <c r="F4" s="66"/>
      <c r="G4" s="66"/>
      <c r="H4" s="66"/>
      <c r="I4" s="66"/>
      <c r="J4" s="47" t="s">
        <v>74</v>
      </c>
      <c r="K4" s="66"/>
      <c r="L4" s="66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30" customHeight="1" x14ac:dyDescent="0.35">
      <c r="A5" s="88"/>
      <c r="B5" s="41"/>
      <c r="C5" s="88"/>
      <c r="D5" s="42">
        <f>B5*(J5/105.5056)</f>
        <v>0</v>
      </c>
      <c r="E5" s="66"/>
      <c r="F5" s="66"/>
      <c r="G5" s="66"/>
      <c r="H5" s="66"/>
      <c r="I5" s="66"/>
      <c r="J5" s="48">
        <v>35.17</v>
      </c>
      <c r="K5" s="47" t="s">
        <v>75</v>
      </c>
      <c r="L5" s="66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x14ac:dyDescent="0.35">
      <c r="A6" s="88"/>
      <c r="B6" s="88"/>
      <c r="C6" s="88"/>
      <c r="D6" s="88"/>
      <c r="E6" s="66"/>
      <c r="F6" s="66"/>
      <c r="G6" s="66"/>
      <c r="H6" s="66"/>
      <c r="I6" s="66"/>
      <c r="J6" s="66"/>
      <c r="K6" s="66"/>
      <c r="L6" s="66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ht="30" customHeight="1" x14ac:dyDescent="0.35">
      <c r="A7" s="88"/>
      <c r="B7" s="86" t="s">
        <v>72</v>
      </c>
      <c r="C7" s="88"/>
      <c r="D7" s="87" t="s">
        <v>90</v>
      </c>
      <c r="E7" s="66"/>
      <c r="F7" s="66"/>
      <c r="G7" s="66"/>
      <c r="H7" s="66"/>
      <c r="I7" s="66"/>
      <c r="J7" s="66"/>
      <c r="K7" s="66"/>
      <c r="L7" s="66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ht="30" customHeight="1" x14ac:dyDescent="0.35">
      <c r="A8" s="88"/>
      <c r="B8" s="41"/>
      <c r="C8" s="88"/>
      <c r="D8" s="36">
        <f>ROUND(B8/(100/$J$5),4)</f>
        <v>0</v>
      </c>
      <c r="E8" s="66"/>
      <c r="F8" s="66"/>
      <c r="G8" s="66"/>
      <c r="H8" s="66"/>
      <c r="I8" s="66"/>
      <c r="J8" s="66"/>
      <c r="K8" s="66"/>
      <c r="L8" s="66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x14ac:dyDescent="0.35">
      <c r="A9" s="88"/>
      <c r="B9" s="88"/>
      <c r="C9" s="88"/>
      <c r="D9" s="88"/>
      <c r="E9" s="66"/>
      <c r="F9" s="66"/>
      <c r="G9" s="66"/>
      <c r="H9" s="66"/>
      <c r="I9" s="66"/>
      <c r="J9" s="66"/>
      <c r="K9" s="66"/>
      <c r="L9" s="66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ht="30" customHeight="1" x14ac:dyDescent="0.35">
      <c r="A10" s="88"/>
      <c r="B10" s="86" t="s">
        <v>69</v>
      </c>
      <c r="C10" s="88"/>
      <c r="D10" s="87" t="s">
        <v>90</v>
      </c>
      <c r="E10" s="66"/>
      <c r="F10" s="66"/>
      <c r="G10" s="66"/>
      <c r="H10" s="66"/>
      <c r="I10" s="66"/>
      <c r="J10" s="66"/>
      <c r="K10" s="66"/>
      <c r="L10" s="66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30" customHeight="1" x14ac:dyDescent="0.35">
      <c r="A11" s="88"/>
      <c r="B11" s="41"/>
      <c r="C11" s="88"/>
      <c r="D11" s="36">
        <f>ROUND(B11*($J$5/36000),4)</f>
        <v>0</v>
      </c>
      <c r="E11" s="66"/>
      <c r="F11" s="66"/>
      <c r="G11" s="66"/>
      <c r="H11" s="66"/>
      <c r="I11" s="66"/>
      <c r="J11" s="66"/>
      <c r="K11" s="66"/>
      <c r="L11" s="66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x14ac:dyDescent="0.35">
      <c r="A12" s="88"/>
      <c r="B12" s="88"/>
      <c r="C12" s="88"/>
      <c r="D12" s="88"/>
      <c r="E12" s="66"/>
      <c r="F12" s="66"/>
      <c r="G12" s="66"/>
      <c r="H12" s="66"/>
      <c r="I12" s="66"/>
      <c r="J12" s="66"/>
      <c r="K12" s="66"/>
      <c r="L12" s="66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30" customHeight="1" x14ac:dyDescent="0.35">
      <c r="A13" s="88"/>
      <c r="B13" s="86" t="s">
        <v>73</v>
      </c>
      <c r="C13" s="88"/>
      <c r="D13" s="87" t="s">
        <v>90</v>
      </c>
      <c r="E13" s="66"/>
      <c r="F13" s="66"/>
      <c r="G13" s="66"/>
      <c r="H13" s="66"/>
      <c r="I13" s="66"/>
      <c r="J13" s="66"/>
      <c r="K13" s="66"/>
      <c r="L13" s="66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30" customHeight="1" x14ac:dyDescent="0.35">
      <c r="A14" s="88"/>
      <c r="B14" s="41"/>
      <c r="C14" s="88"/>
      <c r="D14" s="36">
        <f>ROUND(B14*($J$5/3.6),4)</f>
        <v>0</v>
      </c>
      <c r="E14" s="66"/>
      <c r="F14" s="66"/>
      <c r="G14" s="66"/>
      <c r="H14" s="66"/>
      <c r="I14" s="66"/>
      <c r="J14" s="66"/>
      <c r="K14" s="66"/>
      <c r="L14" s="66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x14ac:dyDescent="0.35">
      <c r="A15" s="88"/>
      <c r="B15" s="88"/>
      <c r="C15" s="88"/>
      <c r="D15" s="98"/>
      <c r="E15" s="66"/>
      <c r="F15" s="66"/>
      <c r="G15" s="66"/>
      <c r="H15" s="66"/>
      <c r="I15" s="66"/>
      <c r="J15" s="66"/>
      <c r="K15" s="66"/>
      <c r="L15" s="66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30" customHeight="1" x14ac:dyDescent="0.35">
      <c r="A16" s="88"/>
      <c r="B16" s="86" t="s">
        <v>88</v>
      </c>
      <c r="C16" s="88"/>
      <c r="D16" s="87" t="s">
        <v>90</v>
      </c>
      <c r="E16" s="66"/>
      <c r="F16" s="66"/>
      <c r="G16" s="66"/>
      <c r="H16" s="66"/>
      <c r="I16" s="66"/>
      <c r="J16" s="66"/>
      <c r="K16" s="66"/>
      <c r="L16" s="66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30" customHeight="1" x14ac:dyDescent="0.35">
      <c r="A17" s="88"/>
      <c r="B17" s="41"/>
      <c r="C17" s="88"/>
      <c r="D17" s="36">
        <f>ROUND(B17/(100000/$J$5),4)</f>
        <v>0</v>
      </c>
      <c r="E17" s="66"/>
      <c r="F17" s="66"/>
      <c r="G17" s="66"/>
      <c r="H17" s="66"/>
      <c r="I17" s="66"/>
      <c r="J17" s="66"/>
      <c r="K17" s="66"/>
      <c r="L17" s="66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x14ac:dyDescent="0.35">
      <c r="A18" s="88"/>
      <c r="B18" s="88"/>
      <c r="C18" s="88"/>
      <c r="D18" s="88"/>
      <c r="E18" s="66"/>
      <c r="F18" s="66"/>
      <c r="G18" s="66"/>
      <c r="H18" s="66"/>
      <c r="I18" s="66"/>
      <c r="J18" s="66"/>
      <c r="K18" s="66"/>
      <c r="L18" s="66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30" customHeight="1" x14ac:dyDescent="0.35">
      <c r="A19" s="88"/>
      <c r="B19" s="86" t="s">
        <v>89</v>
      </c>
      <c r="C19" s="88"/>
      <c r="D19" s="87" t="s">
        <v>90</v>
      </c>
      <c r="E19" s="66"/>
      <c r="F19" s="66"/>
      <c r="G19" s="66"/>
      <c r="H19" s="66"/>
      <c r="I19" s="66"/>
      <c r="J19" s="66"/>
      <c r="K19" s="66"/>
      <c r="L19" s="66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30" customHeight="1" x14ac:dyDescent="0.35">
      <c r="A20" s="88"/>
      <c r="B20" s="41"/>
      <c r="C20" s="88"/>
      <c r="D20" s="36">
        <f>ROUND(B20/(1/$J$5),4)</f>
        <v>0</v>
      </c>
      <c r="E20" s="66"/>
      <c r="F20" s="66"/>
      <c r="G20" s="66"/>
      <c r="H20" s="66"/>
      <c r="I20" s="66"/>
      <c r="J20" s="66"/>
      <c r="K20" s="66"/>
      <c r="L20" s="66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x14ac:dyDescent="0.3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30" customHeight="1" x14ac:dyDescent="0.35">
      <c r="A22" s="88"/>
      <c r="B22" s="86" t="s">
        <v>71</v>
      </c>
      <c r="C22" s="88"/>
      <c r="D22" s="87" t="s">
        <v>90</v>
      </c>
      <c r="E22" s="66"/>
      <c r="F22" s="66"/>
      <c r="G22" s="66"/>
      <c r="H22" s="66"/>
      <c r="I22" s="66"/>
      <c r="J22" s="66"/>
      <c r="K22" s="66"/>
      <c r="L22" s="66"/>
      <c r="M22" s="66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30" customHeight="1" x14ac:dyDescent="0.35">
      <c r="A23" s="88"/>
      <c r="B23" s="41"/>
      <c r="C23" s="88"/>
      <c r="D23" s="36">
        <f>ROUND(B23/(10/$J$5),4)</f>
        <v>0</v>
      </c>
      <c r="E23" s="66"/>
      <c r="F23" s="66"/>
      <c r="G23" s="66"/>
      <c r="H23" s="66"/>
      <c r="I23" s="66"/>
      <c r="J23" s="66"/>
      <c r="K23" s="66"/>
      <c r="L23" s="66"/>
      <c r="M23" s="66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5" customHeight="1" x14ac:dyDescent="0.35">
      <c r="A24" s="88"/>
      <c r="B24" s="88"/>
      <c r="C24" s="88"/>
      <c r="D24" s="88"/>
      <c r="E24" s="88"/>
      <c r="F24" s="88"/>
      <c r="G24" s="88"/>
      <c r="H24" s="88"/>
      <c r="I24" s="66"/>
      <c r="J24" s="66"/>
      <c r="K24" s="66"/>
      <c r="L24" s="66"/>
      <c r="M24" s="66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30" customHeight="1" x14ac:dyDescent="0.35">
      <c r="A25" s="88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30" customHeight="1" x14ac:dyDescent="0.35">
      <c r="A26" s="88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3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x14ac:dyDescent="0.3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x14ac:dyDescent="0.3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x14ac:dyDescent="0.3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x14ac:dyDescent="0.3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x14ac:dyDescent="0.3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x14ac:dyDescent="0.3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x14ac:dyDescent="0.3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x14ac:dyDescent="0.3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x14ac:dyDescent="0.3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x14ac:dyDescent="0.3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x14ac:dyDescent="0.3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x14ac:dyDescent="0.3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x14ac:dyDescent="0.3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x14ac:dyDescent="0.3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x14ac:dyDescent="0.3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x14ac:dyDescent="0.3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2FD1-3448-435A-B8D2-518998DAB15D}">
  <sheetPr codeName="Sheet17">
    <tabColor rgb="FF00B0F0"/>
  </sheetPr>
  <dimension ref="A1:Z43"/>
  <sheetViews>
    <sheetView zoomScale="80" zoomScaleNormal="80" workbookViewId="0">
      <selection activeCell="O11" sqref="O11"/>
    </sheetView>
  </sheetViews>
  <sheetFormatPr defaultColWidth="18.54296875" defaultRowHeight="13" x14ac:dyDescent="0.35"/>
  <cols>
    <col min="1" max="1" width="14" style="40" customWidth="1"/>
    <col min="2" max="2" width="25.54296875" style="40" customWidth="1"/>
    <col min="3" max="3" width="3.54296875" style="40" customWidth="1"/>
    <col min="4" max="4" width="25.54296875" style="40" customWidth="1"/>
    <col min="5" max="5" width="3.54296875" style="40" customWidth="1"/>
    <col min="6" max="6" width="10" style="40" customWidth="1"/>
    <col min="7" max="7" width="3.54296875" style="40" hidden="1" customWidth="1"/>
    <col min="8" max="8" width="7" style="40" hidden="1" customWidth="1"/>
    <col min="9" max="9" width="8.6328125" style="40" customWidth="1"/>
    <col min="10" max="10" width="23.54296875" style="40" customWidth="1"/>
    <col min="11" max="11" width="12.54296875" style="40" customWidth="1"/>
    <col min="12" max="12" width="10.36328125" style="40" customWidth="1"/>
    <col min="13" max="13" width="3.54296875" style="40" customWidth="1"/>
    <col min="14" max="14" width="25.54296875" style="40" customWidth="1"/>
    <col min="15" max="22" width="18.54296875" style="40"/>
    <col min="23" max="23" width="16.08984375" style="40" customWidth="1"/>
    <col min="24" max="25" width="18.54296875" style="40" hidden="1" customWidth="1"/>
    <col min="26" max="16384" width="18.54296875" style="40"/>
  </cols>
  <sheetData>
    <row r="1" spans="1:26" ht="20.149999999999999" customHeight="1" x14ac:dyDescent="0.3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20.149999999999999" customHeight="1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 ht="20.149999999999999" customHeight="1" x14ac:dyDescent="0.35">
      <c r="A3" s="88"/>
      <c r="B3" s="88"/>
      <c r="C3" s="88"/>
      <c r="D3" s="88"/>
      <c r="E3" s="88"/>
      <c r="F3" s="88"/>
      <c r="G3" s="88"/>
      <c r="H3" s="88"/>
      <c r="I3" s="68"/>
      <c r="J3" s="68"/>
      <c r="K3" s="68"/>
      <c r="L3" s="68"/>
      <c r="M3" s="88"/>
      <c r="N3" s="89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ht="30" customHeight="1" x14ac:dyDescent="0.35">
      <c r="A4" s="88"/>
      <c r="B4" s="86" t="s">
        <v>91</v>
      </c>
      <c r="C4" s="88"/>
      <c r="D4" s="87" t="s">
        <v>92</v>
      </c>
      <c r="E4" s="68"/>
      <c r="F4" s="68"/>
      <c r="G4" s="68"/>
      <c r="H4" s="68"/>
      <c r="I4" s="68"/>
      <c r="J4" s="47" t="s">
        <v>74</v>
      </c>
      <c r="K4" s="99"/>
      <c r="L4" s="68"/>
      <c r="M4" s="88"/>
      <c r="N4" s="89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30" customHeight="1" x14ac:dyDescent="0.35">
      <c r="A5" s="88"/>
      <c r="B5" s="41">
        <v>1</v>
      </c>
      <c r="C5" s="88"/>
      <c r="D5" s="42">
        <f>B5/($J$5/105.5056)</f>
        <v>2.9998748933750354</v>
      </c>
      <c r="E5" s="68"/>
      <c r="F5" s="68"/>
      <c r="G5" s="68"/>
      <c r="H5" s="68"/>
      <c r="I5" s="68"/>
      <c r="J5" s="48">
        <v>35.17</v>
      </c>
      <c r="K5" s="47" t="s">
        <v>75</v>
      </c>
      <c r="L5" s="68"/>
      <c r="M5" s="88"/>
      <c r="N5" s="89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x14ac:dyDescent="0.35">
      <c r="A6" s="88"/>
      <c r="B6" s="88"/>
      <c r="C6" s="88"/>
      <c r="D6" s="88"/>
      <c r="E6" s="68"/>
      <c r="F6" s="68"/>
      <c r="G6" s="68"/>
      <c r="H6" s="68"/>
      <c r="I6" s="68"/>
      <c r="J6" s="68"/>
      <c r="K6" s="68"/>
      <c r="L6" s="68"/>
      <c r="M6" s="88"/>
      <c r="N6" s="89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ht="30" customHeight="1" x14ac:dyDescent="0.35">
      <c r="A7" s="88"/>
      <c r="B7" s="68"/>
      <c r="C7" s="88"/>
      <c r="D7" s="87" t="s">
        <v>72</v>
      </c>
      <c r="E7" s="68"/>
      <c r="F7" s="68"/>
      <c r="G7" s="68"/>
      <c r="H7" s="68"/>
      <c r="I7" s="68"/>
      <c r="J7" s="68"/>
      <c r="K7" s="68"/>
      <c r="L7" s="68"/>
      <c r="M7" s="88"/>
      <c r="N7" s="89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ht="30" customHeight="1" x14ac:dyDescent="0.35">
      <c r="A8" s="88"/>
      <c r="B8" s="68"/>
      <c r="C8" s="88"/>
      <c r="D8" s="36">
        <f>$B$5*(100/$J$5)</f>
        <v>2.8433323855558714</v>
      </c>
      <c r="E8" s="68"/>
      <c r="F8" s="68"/>
      <c r="G8" s="68"/>
      <c r="H8" s="68"/>
      <c r="I8" s="68"/>
      <c r="J8" s="68"/>
      <c r="K8" s="68"/>
      <c r="L8" s="68"/>
      <c r="M8" s="88"/>
      <c r="N8" s="89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x14ac:dyDescent="0.35">
      <c r="A9" s="88"/>
      <c r="B9" s="68"/>
      <c r="C9" s="88"/>
      <c r="D9" s="88"/>
      <c r="E9" s="68"/>
      <c r="F9" s="68"/>
      <c r="G9" s="68"/>
      <c r="H9" s="68"/>
      <c r="I9" s="68"/>
      <c r="J9" s="68"/>
      <c r="K9" s="68"/>
      <c r="L9" s="68"/>
      <c r="M9" s="88"/>
      <c r="N9" s="89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ht="30" customHeight="1" x14ac:dyDescent="0.35">
      <c r="A10" s="88"/>
      <c r="B10" s="68"/>
      <c r="C10" s="88"/>
      <c r="D10" s="87" t="s">
        <v>69</v>
      </c>
      <c r="E10" s="68"/>
      <c r="F10" s="68"/>
      <c r="G10" s="68"/>
      <c r="H10" s="68"/>
      <c r="I10" s="68"/>
      <c r="J10" s="68"/>
      <c r="K10" s="68"/>
      <c r="L10" s="68"/>
      <c r="M10" s="88"/>
      <c r="N10" s="89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30" customHeight="1" x14ac:dyDescent="0.35">
      <c r="A11" s="88"/>
      <c r="B11" s="68"/>
      <c r="C11" s="88"/>
      <c r="D11" s="46">
        <f>B5/(J5/36000)</f>
        <v>1023.5996588001136</v>
      </c>
      <c r="E11" s="68"/>
      <c r="F11" s="68"/>
      <c r="G11" s="68"/>
      <c r="H11" s="68"/>
      <c r="I11" s="68"/>
      <c r="J11" s="68"/>
      <c r="K11" s="68"/>
      <c r="L11" s="68"/>
      <c r="M11" s="88"/>
      <c r="N11" s="89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x14ac:dyDescent="0.35">
      <c r="A12" s="88"/>
      <c r="B12" s="68"/>
      <c r="C12" s="88"/>
      <c r="D12" s="88"/>
      <c r="E12" s="68"/>
      <c r="F12" s="68"/>
      <c r="G12" s="68"/>
      <c r="H12" s="68"/>
      <c r="I12" s="68"/>
      <c r="J12" s="68"/>
      <c r="K12" s="68"/>
      <c r="L12" s="68"/>
      <c r="M12" s="88"/>
      <c r="N12" s="89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30" customHeight="1" x14ac:dyDescent="0.35">
      <c r="A13" s="88"/>
      <c r="B13" s="68"/>
      <c r="C13" s="88"/>
      <c r="D13" s="87" t="s">
        <v>73</v>
      </c>
      <c r="E13" s="68"/>
      <c r="F13" s="68"/>
      <c r="G13" s="68"/>
      <c r="H13" s="68"/>
      <c r="I13" s="68"/>
      <c r="J13" s="68"/>
      <c r="K13" s="68"/>
      <c r="L13" s="68"/>
      <c r="M13" s="88"/>
      <c r="N13" s="89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30" customHeight="1" x14ac:dyDescent="0.35">
      <c r="A14" s="88"/>
      <c r="B14" s="68"/>
      <c r="C14" s="88"/>
      <c r="D14" s="45">
        <f>B5/(J5/3.6)</f>
        <v>0.10235996588001138</v>
      </c>
      <c r="E14" s="68"/>
      <c r="F14" s="68"/>
      <c r="G14" s="68"/>
      <c r="H14" s="68"/>
      <c r="I14" s="68"/>
      <c r="J14" s="68"/>
      <c r="K14" s="68"/>
      <c r="L14" s="68"/>
      <c r="M14" s="88"/>
      <c r="N14" s="89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x14ac:dyDescent="0.35">
      <c r="A15" s="88"/>
      <c r="B15" s="68"/>
      <c r="C15" s="88"/>
      <c r="D15" s="98"/>
      <c r="E15" s="68"/>
      <c r="F15" s="68"/>
      <c r="G15" s="68"/>
      <c r="H15" s="68"/>
      <c r="I15" s="68"/>
      <c r="J15" s="68"/>
      <c r="K15" s="68"/>
      <c r="L15" s="68"/>
      <c r="M15" s="88"/>
      <c r="N15" s="89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30" customHeight="1" x14ac:dyDescent="0.35">
      <c r="A16" s="88"/>
      <c r="B16" s="68"/>
      <c r="C16" s="88"/>
      <c r="D16" s="87" t="s">
        <v>70</v>
      </c>
      <c r="E16" s="68"/>
      <c r="F16" s="68"/>
      <c r="G16" s="68"/>
      <c r="H16" s="68"/>
      <c r="I16" s="68"/>
      <c r="J16" s="68"/>
      <c r="K16" s="68"/>
      <c r="L16" s="68"/>
      <c r="M16" s="88"/>
      <c r="N16" s="89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30" customHeight="1" x14ac:dyDescent="0.35">
      <c r="A17" s="88"/>
      <c r="B17" s="68"/>
      <c r="C17" s="88"/>
      <c r="D17" s="46">
        <f>ROUND($B$5*(10000/$J$5),2)</f>
        <v>284.33</v>
      </c>
      <c r="E17" s="68"/>
      <c r="F17" s="68"/>
      <c r="G17" s="68"/>
      <c r="H17" s="68"/>
      <c r="I17" s="68"/>
      <c r="J17" s="68"/>
      <c r="K17" s="68"/>
      <c r="L17" s="68"/>
      <c r="M17" s="88"/>
      <c r="N17" s="89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x14ac:dyDescent="0.35">
      <c r="A18" s="88"/>
      <c r="B18" s="68"/>
      <c r="C18" s="88"/>
      <c r="D18" s="88"/>
      <c r="E18" s="68"/>
      <c r="F18" s="68"/>
      <c r="G18" s="68"/>
      <c r="H18" s="68"/>
      <c r="I18" s="68"/>
      <c r="J18" s="68"/>
      <c r="K18" s="68"/>
      <c r="L18" s="68"/>
      <c r="M18" s="88"/>
      <c r="N18" s="89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30" customHeight="1" x14ac:dyDescent="0.35">
      <c r="A19" s="88"/>
      <c r="B19" s="68"/>
      <c r="C19" s="88"/>
      <c r="D19" s="87" t="s">
        <v>89</v>
      </c>
      <c r="E19" s="68"/>
      <c r="F19" s="68"/>
      <c r="G19" s="68"/>
      <c r="H19" s="68"/>
      <c r="I19" s="68"/>
      <c r="J19" s="68"/>
      <c r="K19" s="68"/>
      <c r="L19" s="68"/>
      <c r="M19" s="88"/>
      <c r="N19" s="89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30" customHeight="1" x14ac:dyDescent="0.35">
      <c r="A20" s="88"/>
      <c r="B20" s="68"/>
      <c r="C20" s="88"/>
      <c r="D20" s="45">
        <f>$B$5*(1/$J$5)</f>
        <v>2.8433323855558714E-2</v>
      </c>
      <c r="E20" s="68"/>
      <c r="F20" s="68"/>
      <c r="G20" s="68"/>
      <c r="H20" s="68"/>
      <c r="I20" s="68"/>
      <c r="J20" s="68"/>
      <c r="K20" s="68"/>
      <c r="L20" s="68"/>
      <c r="M20" s="88"/>
      <c r="N20" s="89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x14ac:dyDescent="0.3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89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30" customHeight="1" x14ac:dyDescent="0.35">
      <c r="A22" s="88"/>
      <c r="B22" s="68"/>
      <c r="C22" s="88"/>
      <c r="D22" s="87" t="s">
        <v>71</v>
      </c>
      <c r="E22" s="68"/>
      <c r="F22" s="68"/>
      <c r="G22" s="68"/>
      <c r="H22" s="68"/>
      <c r="I22" s="68"/>
      <c r="J22" s="68"/>
      <c r="K22" s="68"/>
      <c r="L22" s="68"/>
      <c r="M22" s="68"/>
      <c r="N22" s="89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30" customHeight="1" x14ac:dyDescent="0.35">
      <c r="A23" s="88"/>
      <c r="B23" s="68"/>
      <c r="C23" s="88"/>
      <c r="D23" s="45">
        <f>$B$5*(10/$J$5)</f>
        <v>0.28433323855558712</v>
      </c>
      <c r="E23" s="68"/>
      <c r="F23" s="68"/>
      <c r="G23" s="68"/>
      <c r="H23" s="68"/>
      <c r="I23" s="68"/>
      <c r="J23" s="68"/>
      <c r="K23" s="68"/>
      <c r="L23" s="68"/>
      <c r="M23" s="68"/>
      <c r="N23" s="89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5" customHeight="1" x14ac:dyDescent="0.35">
      <c r="A24" s="88"/>
      <c r="B24" s="88"/>
      <c r="C24" s="88"/>
      <c r="D24" s="88"/>
      <c r="E24" s="88"/>
      <c r="F24" s="88"/>
      <c r="G24" s="88"/>
      <c r="H24" s="88"/>
      <c r="I24" s="68"/>
      <c r="J24" s="68"/>
      <c r="K24" s="68"/>
      <c r="L24" s="68"/>
      <c r="M24" s="68"/>
      <c r="N24" s="89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30" customHeight="1" x14ac:dyDescent="0.35">
      <c r="A25" s="8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89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30" customHeight="1" x14ac:dyDescent="0.35">
      <c r="A26" s="8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x14ac:dyDescent="0.3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x14ac:dyDescent="0.3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x14ac:dyDescent="0.3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x14ac:dyDescent="0.3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x14ac:dyDescent="0.3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x14ac:dyDescent="0.3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x14ac:dyDescent="0.3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x14ac:dyDescent="0.3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x14ac:dyDescent="0.3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x14ac:dyDescent="0.3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x14ac:dyDescent="0.3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x14ac:dyDescent="0.3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x14ac:dyDescent="0.3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x14ac:dyDescent="0.3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x14ac:dyDescent="0.3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x14ac:dyDescent="0.3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x14ac:dyDescent="0.3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CAB31-EA85-4BFD-8751-2D38A3E720B4}">
  <sheetPr codeName="Sheet2">
    <tabColor rgb="FF00B0F0"/>
    <pageSetUpPr fitToPage="1"/>
  </sheetPr>
  <dimension ref="A1:S47"/>
  <sheetViews>
    <sheetView zoomScale="80" zoomScaleNormal="80" workbookViewId="0">
      <selection activeCell="J3" sqref="J3"/>
    </sheetView>
  </sheetViews>
  <sheetFormatPr defaultColWidth="18.54296875" defaultRowHeight="12.5" x14ac:dyDescent="0.25"/>
  <cols>
    <col min="1" max="1" width="4.36328125" style="8" customWidth="1"/>
    <col min="2" max="2" width="25.54296875" style="8" customWidth="1"/>
    <col min="3" max="3" width="3.08984375" style="8" customWidth="1"/>
    <col min="4" max="4" width="25.54296875" style="8" customWidth="1"/>
    <col min="5" max="5" width="3.08984375" style="8" customWidth="1"/>
    <col min="6" max="6" width="25.54296875" style="8" customWidth="1"/>
    <col min="7" max="7" width="3.08984375" style="8" customWidth="1"/>
    <col min="8" max="8" width="25.54296875" style="8" customWidth="1"/>
    <col min="9" max="9" width="3.08984375" style="8" customWidth="1"/>
    <col min="10" max="10" width="25.54296875" style="8" customWidth="1"/>
    <col min="11" max="11" width="2.08984375" style="8" customWidth="1"/>
    <col min="12" max="14" width="18.54296875" style="8"/>
    <col min="15" max="15" width="126.54296875" style="8" customWidth="1"/>
    <col min="16" max="16384" width="18.54296875" style="8"/>
  </cols>
  <sheetData>
    <row r="1" spans="1:19" ht="15" customHeigh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7"/>
      <c r="Q1" s="7"/>
      <c r="R1" s="7"/>
      <c r="S1" s="7"/>
    </row>
    <row r="2" spans="1:19" ht="15" customHeigh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</row>
    <row r="3" spans="1:19" ht="15" customHeight="1" x14ac:dyDescent="0.45">
      <c r="A3" s="65"/>
      <c r="B3" s="65"/>
      <c r="C3" s="65"/>
      <c r="D3" s="65"/>
      <c r="E3" s="65"/>
      <c r="F3" s="65"/>
      <c r="G3" s="65"/>
      <c r="H3" s="65"/>
      <c r="I3" s="65"/>
      <c r="J3" s="113" t="s">
        <v>110</v>
      </c>
      <c r="K3" s="65"/>
      <c r="L3" s="112"/>
      <c r="M3" s="65"/>
      <c r="N3" s="65"/>
      <c r="O3" s="65"/>
      <c r="P3" s="7"/>
      <c r="Q3" s="7"/>
      <c r="R3" s="7"/>
      <c r="S3" s="7"/>
    </row>
    <row r="4" spans="1:19" ht="15" customHeigh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7"/>
      <c r="Q4" s="7"/>
      <c r="R4" s="7"/>
      <c r="S4" s="7"/>
    </row>
    <row r="5" spans="1:19" ht="15" customHeight="1" x14ac:dyDescent="0.3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7"/>
      <c r="Q5" s="7"/>
      <c r="R5" s="7"/>
      <c r="S5" s="7"/>
    </row>
    <row r="6" spans="1:19" ht="30" customHeight="1" x14ac:dyDescent="0.3">
      <c r="A6" s="65"/>
      <c r="B6" s="63" t="s">
        <v>0</v>
      </c>
      <c r="C6" s="66"/>
      <c r="D6" s="64" t="s">
        <v>1</v>
      </c>
      <c r="E6" s="67"/>
      <c r="F6" s="64" t="s">
        <v>2</v>
      </c>
      <c r="G6" s="66"/>
      <c r="H6" s="64" t="s">
        <v>37</v>
      </c>
      <c r="I6" s="66"/>
      <c r="J6" s="64" t="s">
        <v>3</v>
      </c>
      <c r="K6" s="65"/>
      <c r="L6" s="65"/>
      <c r="M6" s="65"/>
      <c r="N6" s="65"/>
      <c r="O6" s="65"/>
      <c r="P6" s="7"/>
      <c r="Q6" s="7"/>
      <c r="R6" s="7"/>
      <c r="S6" s="7"/>
    </row>
    <row r="7" spans="1:19" ht="30" customHeight="1" x14ac:dyDescent="0.3">
      <c r="A7" s="65"/>
      <c r="B7" s="9"/>
      <c r="C7" s="66"/>
      <c r="D7" s="4">
        <f>ROUND(B7*5.6145833,4)</f>
        <v>0</v>
      </c>
      <c r="E7" s="67"/>
      <c r="F7" s="4">
        <f>ROUND(B7*158987.2949285,4)</f>
        <v>0</v>
      </c>
      <c r="G7" s="66"/>
      <c r="H7" s="4">
        <f>ROUND(B7*42,2)</f>
        <v>0</v>
      </c>
      <c r="I7" s="66"/>
      <c r="J7" s="4">
        <f>ROUND(B7*34.9723158,3)</f>
        <v>0</v>
      </c>
      <c r="K7" s="65"/>
      <c r="L7" s="65"/>
      <c r="M7" s="65"/>
      <c r="N7" s="65"/>
      <c r="O7" s="65"/>
      <c r="P7" s="7"/>
      <c r="Q7" s="7"/>
      <c r="R7" s="7"/>
      <c r="S7" s="7"/>
    </row>
    <row r="8" spans="1:19" ht="14" x14ac:dyDescent="0.3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7"/>
      <c r="Q8" s="7"/>
      <c r="R8" s="7"/>
      <c r="S8" s="7"/>
    </row>
    <row r="9" spans="1:19" ht="30" customHeight="1" x14ac:dyDescent="0.3">
      <c r="A9" s="65"/>
      <c r="B9" s="63" t="s">
        <v>1</v>
      </c>
      <c r="C9" s="65"/>
      <c r="D9" s="64" t="s">
        <v>0</v>
      </c>
      <c r="E9" s="65"/>
      <c r="F9" s="64" t="s">
        <v>2</v>
      </c>
      <c r="G9" s="65"/>
      <c r="H9" s="64" t="s">
        <v>37</v>
      </c>
      <c r="I9" s="65"/>
      <c r="J9" s="64" t="s">
        <v>3</v>
      </c>
      <c r="K9" s="65"/>
      <c r="L9" s="65"/>
      <c r="M9" s="65"/>
      <c r="N9" s="65"/>
      <c r="O9" s="65"/>
      <c r="P9" s="7"/>
      <c r="Q9" s="7"/>
      <c r="R9" s="7"/>
      <c r="S9" s="7"/>
    </row>
    <row r="10" spans="1:19" ht="30" customHeight="1" x14ac:dyDescent="0.3">
      <c r="A10" s="65"/>
      <c r="B10" s="10"/>
      <c r="C10" s="65"/>
      <c r="D10" s="5">
        <f>ROUND(B10*0.1781076,3)</f>
        <v>0</v>
      </c>
      <c r="E10" s="65"/>
      <c r="F10" s="5">
        <f>ROUND(B10*28316.846592,4)</f>
        <v>0</v>
      </c>
      <c r="G10" s="65"/>
      <c r="H10" s="5">
        <f>ROUND(B10*7.4805195,4)</f>
        <v>0</v>
      </c>
      <c r="I10" s="65"/>
      <c r="J10" s="5">
        <f>ROUND(B10*6.2288355,4)</f>
        <v>0</v>
      </c>
      <c r="K10" s="65"/>
      <c r="L10" s="65"/>
      <c r="M10" s="65"/>
      <c r="N10" s="65"/>
      <c r="O10" s="65"/>
      <c r="P10" s="7"/>
      <c r="Q10" s="7"/>
      <c r="R10" s="7"/>
      <c r="S10" s="7"/>
    </row>
    <row r="11" spans="1:19" ht="14" x14ac:dyDescent="0.3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7"/>
      <c r="Q11" s="7"/>
      <c r="R11" s="7"/>
      <c r="S11" s="7"/>
    </row>
    <row r="12" spans="1:19" ht="30" customHeight="1" x14ac:dyDescent="0.3">
      <c r="A12" s="65"/>
      <c r="B12" s="63" t="s">
        <v>2</v>
      </c>
      <c r="C12" s="65"/>
      <c r="D12" s="64" t="s">
        <v>0</v>
      </c>
      <c r="E12" s="65"/>
      <c r="F12" s="64" t="s">
        <v>1</v>
      </c>
      <c r="G12" s="65"/>
      <c r="H12" s="64" t="s">
        <v>37</v>
      </c>
      <c r="I12" s="65"/>
      <c r="J12" s="64" t="s">
        <v>3</v>
      </c>
      <c r="K12" s="65"/>
      <c r="L12" s="65"/>
      <c r="M12" s="65"/>
      <c r="N12" s="65"/>
      <c r="O12" s="65"/>
      <c r="P12" s="7"/>
      <c r="Q12" s="7"/>
      <c r="R12" s="7"/>
      <c r="S12" s="7"/>
    </row>
    <row r="13" spans="1:19" ht="30" customHeight="1" x14ac:dyDescent="0.3">
      <c r="A13" s="65"/>
      <c r="B13" s="10"/>
      <c r="C13" s="65"/>
      <c r="D13" s="5">
        <f>ROUND(B13*0.0000063,3)</f>
        <v>0</v>
      </c>
      <c r="E13" s="65"/>
      <c r="F13" s="5">
        <f>ROUND(B13*0.0000353,4)</f>
        <v>0</v>
      </c>
      <c r="G13" s="65"/>
      <c r="H13" s="5">
        <f>ROUND(B13*0.0002642,2)</f>
        <v>0</v>
      </c>
      <c r="I13" s="65"/>
      <c r="J13" s="5">
        <f>ROUND(B13*0.00022,2)</f>
        <v>0</v>
      </c>
      <c r="K13" s="65"/>
      <c r="L13" s="65"/>
      <c r="M13" s="65"/>
      <c r="N13" s="65"/>
      <c r="O13" s="65"/>
      <c r="P13" s="7"/>
      <c r="Q13" s="7"/>
      <c r="R13" s="7"/>
      <c r="S13" s="7"/>
    </row>
    <row r="14" spans="1:19" ht="14" x14ac:dyDescent="0.3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7"/>
      <c r="Q14" s="7"/>
      <c r="R14" s="7"/>
      <c r="S14" s="7"/>
    </row>
    <row r="15" spans="1:19" ht="30" customHeight="1" x14ac:dyDescent="0.3">
      <c r="A15" s="65"/>
      <c r="B15" s="63" t="s">
        <v>37</v>
      </c>
      <c r="C15" s="65"/>
      <c r="D15" s="64" t="s">
        <v>0</v>
      </c>
      <c r="E15" s="65"/>
      <c r="F15" s="64" t="s">
        <v>1</v>
      </c>
      <c r="G15" s="65"/>
      <c r="H15" s="64" t="s">
        <v>2</v>
      </c>
      <c r="I15" s="65"/>
      <c r="J15" s="64" t="s">
        <v>3</v>
      </c>
      <c r="K15" s="65"/>
      <c r="L15" s="65"/>
      <c r="M15" s="65"/>
      <c r="N15" s="65"/>
      <c r="O15" s="65"/>
      <c r="P15" s="7"/>
      <c r="Q15" s="7"/>
      <c r="R15" s="7"/>
      <c r="S15" s="7"/>
    </row>
    <row r="16" spans="1:19" ht="30" customHeight="1" x14ac:dyDescent="0.3">
      <c r="A16" s="65"/>
      <c r="B16" s="10"/>
      <c r="C16" s="65"/>
      <c r="D16" s="5">
        <f>ROUND(B16*0.0238095,3)</f>
        <v>0</v>
      </c>
      <c r="E16" s="65"/>
      <c r="F16" s="5">
        <f>ROUND(B16*0.1336806,3)</f>
        <v>0</v>
      </c>
      <c r="G16" s="65"/>
      <c r="H16" s="5">
        <f>ROUND(B16*3785.411784,4)</f>
        <v>0</v>
      </c>
      <c r="I16" s="65"/>
      <c r="J16" s="5">
        <f>ROUND(B16*0.8326742,2)</f>
        <v>0</v>
      </c>
      <c r="K16" s="65"/>
      <c r="L16" s="65"/>
      <c r="M16" s="65"/>
      <c r="N16" s="65"/>
      <c r="O16" s="65"/>
      <c r="P16" s="7"/>
      <c r="Q16" s="7"/>
      <c r="R16" s="7"/>
      <c r="S16" s="7"/>
    </row>
    <row r="17" spans="1:19" ht="14" x14ac:dyDescent="0.3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7"/>
      <c r="Q17" s="7"/>
      <c r="R17" s="7"/>
      <c r="S17" s="7"/>
    </row>
    <row r="18" spans="1:19" ht="30" customHeight="1" x14ac:dyDescent="0.3">
      <c r="A18" s="65"/>
      <c r="B18" s="63" t="s">
        <v>3</v>
      </c>
      <c r="C18" s="65"/>
      <c r="D18" s="64" t="s">
        <v>0</v>
      </c>
      <c r="E18" s="65"/>
      <c r="F18" s="64" t="s">
        <v>1</v>
      </c>
      <c r="G18" s="65"/>
      <c r="H18" s="64" t="s">
        <v>2</v>
      </c>
      <c r="I18" s="65"/>
      <c r="J18" s="64" t="s">
        <v>37</v>
      </c>
      <c r="K18" s="65"/>
      <c r="L18" s="65"/>
      <c r="M18" s="65"/>
      <c r="N18" s="65"/>
      <c r="O18" s="65"/>
      <c r="P18" s="7"/>
      <c r="Q18" s="7"/>
      <c r="R18" s="7"/>
      <c r="S18" s="7"/>
    </row>
    <row r="19" spans="1:19" ht="30" customHeight="1" x14ac:dyDescent="0.3">
      <c r="A19" s="65"/>
      <c r="B19" s="10"/>
      <c r="C19" s="65"/>
      <c r="D19" s="5">
        <f>ROUND(B19*0.028594,3)</f>
        <v>0</v>
      </c>
      <c r="E19" s="65"/>
      <c r="F19" s="5">
        <f>ROUND(B19*0.1605437,3)</f>
        <v>0</v>
      </c>
      <c r="G19" s="65"/>
      <c r="H19" s="5">
        <f>ROUND(B19*4546.09,3)</f>
        <v>0</v>
      </c>
      <c r="I19" s="65"/>
      <c r="J19" s="5">
        <f>ROUND(B19*1.2009499,2)</f>
        <v>0</v>
      </c>
      <c r="K19" s="65"/>
      <c r="L19" s="65"/>
      <c r="M19" s="65"/>
      <c r="N19" s="65"/>
      <c r="O19" s="65"/>
      <c r="P19" s="7"/>
      <c r="Q19" s="7"/>
      <c r="R19" s="7"/>
      <c r="S19" s="7"/>
    </row>
    <row r="20" spans="1:19" ht="14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7"/>
      <c r="Q20" s="7"/>
      <c r="R20" s="7"/>
      <c r="S20" s="7"/>
    </row>
    <row r="21" spans="1:19" ht="14" x14ac:dyDescent="0.3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7"/>
      <c r="Q21" s="7"/>
      <c r="R21" s="7"/>
      <c r="S21" s="7"/>
    </row>
    <row r="22" spans="1:19" ht="14" x14ac:dyDescent="0.3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7"/>
      <c r="Q22" s="7"/>
      <c r="R22" s="7"/>
      <c r="S22" s="7"/>
    </row>
    <row r="23" spans="1:19" ht="14" x14ac:dyDescent="0.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7"/>
      <c r="Q23" s="7"/>
      <c r="R23" s="7"/>
      <c r="S23" s="7"/>
    </row>
    <row r="24" spans="1:19" ht="14" x14ac:dyDescent="0.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7"/>
      <c r="Q24" s="7"/>
      <c r="R24" s="7"/>
      <c r="S24" s="7"/>
    </row>
    <row r="25" spans="1:19" ht="14" x14ac:dyDescent="0.3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7"/>
      <c r="Q25" s="7"/>
      <c r="R25" s="7"/>
      <c r="S25" s="7"/>
    </row>
    <row r="26" spans="1:19" ht="14" x14ac:dyDescent="0.3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7"/>
      <c r="Q26" s="7"/>
      <c r="R26" s="7"/>
      <c r="S26" s="7"/>
    </row>
    <row r="27" spans="1:19" ht="14" x14ac:dyDescent="0.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7"/>
      <c r="Q27" s="7"/>
      <c r="R27" s="7"/>
      <c r="S27" s="7"/>
    </row>
    <row r="28" spans="1:19" ht="14" x14ac:dyDescent="0.3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7"/>
      <c r="Q28" s="7"/>
      <c r="R28" s="7"/>
      <c r="S28" s="7"/>
    </row>
    <row r="29" spans="1:19" ht="14" x14ac:dyDescent="0.3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7"/>
      <c r="Q29" s="7"/>
      <c r="R29" s="7"/>
      <c r="S29" s="7"/>
    </row>
    <row r="30" spans="1:19" ht="14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7"/>
      <c r="Q30" s="7"/>
      <c r="R30" s="7"/>
      <c r="S30" s="7"/>
    </row>
    <row r="31" spans="1:19" ht="14" x14ac:dyDescent="0.3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7"/>
      <c r="Q31" s="7"/>
      <c r="R31" s="7"/>
      <c r="S31" s="7"/>
    </row>
    <row r="32" spans="1:19" ht="14" x14ac:dyDescent="0.3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7"/>
      <c r="Q32" s="7"/>
      <c r="R32" s="7"/>
      <c r="S32" s="7"/>
    </row>
    <row r="33" spans="1:19" ht="14" x14ac:dyDescent="0.3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7"/>
      <c r="Q33" s="7"/>
      <c r="R33" s="7"/>
      <c r="S33" s="7"/>
    </row>
    <row r="34" spans="1:19" ht="73.75" customHeigh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7"/>
      <c r="Q34" s="7"/>
      <c r="R34" s="7"/>
      <c r="S34" s="7"/>
    </row>
    <row r="35" spans="1:19" ht="14" x14ac:dyDescent="0.3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7"/>
      <c r="Q35" s="7"/>
      <c r="R35" s="7"/>
      <c r="S35" s="7"/>
    </row>
    <row r="36" spans="1:19" ht="14" x14ac:dyDescent="0.3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7"/>
      <c r="Q36" s="7"/>
      <c r="R36" s="7"/>
      <c r="S36" s="7"/>
    </row>
    <row r="37" spans="1:19" ht="14" x14ac:dyDescent="0.3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7"/>
      <c r="Q37" s="7"/>
      <c r="R37" s="7"/>
      <c r="S37" s="7"/>
    </row>
    <row r="38" spans="1:19" ht="14" x14ac:dyDescent="0.3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7"/>
      <c r="Q38" s="7"/>
      <c r="R38" s="7"/>
      <c r="S38" s="7"/>
    </row>
    <row r="39" spans="1:19" ht="14" x14ac:dyDescent="0.3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7"/>
      <c r="Q39" s="7"/>
      <c r="R39" s="7"/>
      <c r="S39" s="7"/>
    </row>
    <row r="40" spans="1:19" x14ac:dyDescent="0.25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9" x14ac:dyDescent="0.25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9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1:19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1:19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19" x14ac:dyDescent="0.2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1:19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9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</sheetData>
  <hyperlinks>
    <hyperlink ref="J3" location="Cockpit!A1" display="HOME" xr:uid="{EF61F8AB-B57A-4CA3-A8A1-66FC2DB4D940}"/>
  </hyperlinks>
  <pageMargins left="0.98425196850393704" right="0.98425196850393704" top="0.98425196850393704" bottom="0.98425196850393704" header="0.51181102362204722" footer="0.51181102362204722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DE48-20DE-452A-81B2-3D83CE335DDF}">
  <sheetPr codeName="Sheet3">
    <tabColor rgb="FF00B0F0"/>
    <pageSetUpPr fitToPage="1"/>
  </sheetPr>
  <dimension ref="A1:AC64"/>
  <sheetViews>
    <sheetView zoomScale="70" zoomScaleNormal="70" workbookViewId="0">
      <selection activeCell="N2" sqref="N2"/>
    </sheetView>
  </sheetViews>
  <sheetFormatPr defaultColWidth="18.54296875" defaultRowHeight="13" x14ac:dyDescent="0.3"/>
  <cols>
    <col min="1" max="1" width="11.453125" style="69" customWidth="1"/>
    <col min="2" max="2" width="34.1796875" style="1" customWidth="1"/>
    <col min="3" max="3" width="4.54296875" style="1" customWidth="1"/>
    <col min="4" max="4" width="25.54296875" style="1" customWidth="1"/>
    <col min="5" max="5" width="4.54296875" style="1" customWidth="1"/>
    <col min="6" max="6" width="25.54296875" style="1" customWidth="1"/>
    <col min="7" max="7" width="4.54296875" style="1" customWidth="1"/>
    <col min="8" max="8" width="25.54296875" style="1" customWidth="1"/>
    <col min="9" max="9" width="4.54296875" style="1" customWidth="1"/>
    <col min="10" max="10" width="25.54296875" style="1" customWidth="1"/>
    <col min="11" max="11" width="4.54296875" style="1" customWidth="1"/>
    <col min="12" max="12" width="30.08984375" style="1" customWidth="1"/>
    <col min="13" max="13" width="4.54296875" style="1" customWidth="1"/>
    <col min="14" max="14" width="32.90625" style="1" customWidth="1"/>
    <col min="15" max="15" width="2.08984375" style="1" customWidth="1"/>
    <col min="16" max="16384" width="18.54296875" style="1"/>
  </cols>
  <sheetData>
    <row r="1" spans="2:29" ht="20.149999999999999" customHeight="1" x14ac:dyDescent="0.3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2:29" ht="39.65" customHeight="1" x14ac:dyDescent="0.3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114" t="s">
        <v>110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spans="2:29" ht="20.149999999999999" customHeigh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</row>
    <row r="4" spans="2:29" ht="30" customHeight="1" x14ac:dyDescent="0.3">
      <c r="B4" s="72" t="s">
        <v>6</v>
      </c>
      <c r="C4" s="70"/>
      <c r="D4" s="73" t="s">
        <v>4</v>
      </c>
      <c r="E4" s="71"/>
      <c r="F4" s="73" t="s">
        <v>7</v>
      </c>
      <c r="G4" s="70"/>
      <c r="H4" s="73" t="s">
        <v>8</v>
      </c>
      <c r="I4" s="70"/>
      <c r="J4" s="73" t="s">
        <v>5</v>
      </c>
      <c r="K4" s="69"/>
      <c r="L4" s="73" t="s">
        <v>9</v>
      </c>
      <c r="M4" s="69"/>
      <c r="N4" s="73" t="s">
        <v>10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2:29" ht="30" customHeight="1" x14ac:dyDescent="0.3">
      <c r="B5" s="3"/>
      <c r="C5" s="70"/>
      <c r="D5" s="4">
        <f>ROUND(B5*1.01325,3)</f>
        <v>0</v>
      </c>
      <c r="E5" s="71"/>
      <c r="F5" s="4">
        <f>ROUND(B5*14.6959488,3)</f>
        <v>0</v>
      </c>
      <c r="G5" s="70"/>
      <c r="H5" s="4">
        <f>ROUND(B5*2116.2166237,2)</f>
        <v>0</v>
      </c>
      <c r="I5" s="70"/>
      <c r="J5" s="4">
        <f>ROUND(B5*101.325,3)</f>
        <v>0</v>
      </c>
      <c r="K5" s="69"/>
      <c r="L5" s="4">
        <f>ROUND(D5*10.1325,3)</f>
        <v>0</v>
      </c>
      <c r="M5" s="69"/>
      <c r="N5" s="5">
        <f>ROUND(F5*1.0332275,2)</f>
        <v>0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2:29" ht="15" customHeight="1" x14ac:dyDescent="0.3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2:29" ht="30" customHeight="1" x14ac:dyDescent="0.3">
      <c r="B7" s="72" t="s">
        <v>4</v>
      </c>
      <c r="C7" s="69"/>
      <c r="D7" s="73" t="s">
        <v>6</v>
      </c>
      <c r="E7" s="69"/>
      <c r="F7" s="73" t="s">
        <v>7</v>
      </c>
      <c r="G7" s="69"/>
      <c r="H7" s="73" t="s">
        <v>8</v>
      </c>
      <c r="I7" s="69"/>
      <c r="J7" s="73" t="s">
        <v>5</v>
      </c>
      <c r="K7" s="69"/>
      <c r="L7" s="73" t="s">
        <v>9</v>
      </c>
      <c r="M7" s="69"/>
      <c r="N7" s="73" t="s">
        <v>10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2:29" ht="30" customHeight="1" x14ac:dyDescent="0.3">
      <c r="B8" s="3"/>
      <c r="C8" s="69"/>
      <c r="D8" s="5">
        <f>ROUND(B8*0.9869233,3)</f>
        <v>0</v>
      </c>
      <c r="E8" s="69"/>
      <c r="F8" s="5">
        <f>ROUND(B8*14.5037738,3)</f>
        <v>0</v>
      </c>
      <c r="G8" s="69"/>
      <c r="H8" s="5">
        <f>ROUND(B8*2088.5434233,3)</f>
        <v>0</v>
      </c>
      <c r="I8" s="69"/>
      <c r="J8" s="5">
        <f>ROUND(B8*100,1)</f>
        <v>0</v>
      </c>
      <c r="K8" s="69"/>
      <c r="L8" s="5">
        <f>ROUND(D8*10,1)</f>
        <v>0</v>
      </c>
      <c r="M8" s="69"/>
      <c r="N8" s="5">
        <f>ROUND(F8*1.0197162,2)</f>
        <v>0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</row>
    <row r="9" spans="2:29" ht="15" customHeight="1" x14ac:dyDescent="0.3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</row>
    <row r="10" spans="2:29" ht="30" customHeight="1" x14ac:dyDescent="0.3">
      <c r="B10" s="72" t="s">
        <v>7</v>
      </c>
      <c r="C10" s="69"/>
      <c r="D10" s="73" t="s">
        <v>6</v>
      </c>
      <c r="E10" s="69"/>
      <c r="F10" s="73" t="s">
        <v>4</v>
      </c>
      <c r="G10" s="69"/>
      <c r="H10" s="73" t="s">
        <v>8</v>
      </c>
      <c r="I10" s="69"/>
      <c r="J10" s="73" t="s">
        <v>5</v>
      </c>
      <c r="K10" s="69"/>
      <c r="L10" s="73" t="s">
        <v>9</v>
      </c>
      <c r="M10" s="69"/>
      <c r="N10" s="73" t="s">
        <v>10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</row>
    <row r="11" spans="2:29" ht="30" customHeight="1" x14ac:dyDescent="0.3">
      <c r="B11" s="3"/>
      <c r="C11" s="69"/>
      <c r="D11" s="5">
        <f>ROUND(B11*0.068046,2)</f>
        <v>0</v>
      </c>
      <c r="E11" s="69"/>
      <c r="F11" s="5">
        <f>ROUND(B11*0.0689476,2)</f>
        <v>0</v>
      </c>
      <c r="G11" s="69"/>
      <c r="H11" s="5">
        <f>ROUND(B11*144,2)</f>
        <v>0</v>
      </c>
      <c r="I11" s="69"/>
      <c r="J11" s="5">
        <f>ROUND(B11*6.8947573,2)</f>
        <v>0</v>
      </c>
      <c r="K11" s="69"/>
      <c r="L11" s="5">
        <f>ROUND(D11*0.6894757,2)</f>
        <v>0</v>
      </c>
      <c r="M11" s="69"/>
      <c r="N11" s="5">
        <f>ROUND(F11*0.070307,2)</f>
        <v>0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2:29" ht="15" customHeight="1" x14ac:dyDescent="0.3"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</row>
    <row r="13" spans="2:29" ht="30" customHeight="1" x14ac:dyDescent="0.3">
      <c r="B13" s="72" t="s">
        <v>8</v>
      </c>
      <c r="C13" s="69"/>
      <c r="D13" s="73" t="s">
        <v>6</v>
      </c>
      <c r="E13" s="69"/>
      <c r="F13" s="73" t="s">
        <v>4</v>
      </c>
      <c r="G13" s="69"/>
      <c r="H13" s="73" t="s">
        <v>7</v>
      </c>
      <c r="I13" s="69"/>
      <c r="J13" s="73" t="s">
        <v>5</v>
      </c>
      <c r="K13" s="69"/>
      <c r="L13" s="73" t="s">
        <v>9</v>
      </c>
      <c r="M13" s="69"/>
      <c r="N13" s="73" t="s">
        <v>10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</row>
    <row r="14" spans="2:29" ht="30" customHeight="1" x14ac:dyDescent="0.3">
      <c r="B14" s="3"/>
      <c r="C14" s="69"/>
      <c r="D14" s="5">
        <f>ROUND(B14*0.0004725,2)</f>
        <v>0</v>
      </c>
      <c r="E14" s="69"/>
      <c r="F14" s="5">
        <f>ROUND(B14*0.0004788,2)</f>
        <v>0</v>
      </c>
      <c r="G14" s="69"/>
      <c r="H14" s="5">
        <f>ROUND(B14*0.0069444,2)</f>
        <v>0</v>
      </c>
      <c r="I14" s="69"/>
      <c r="J14" s="5">
        <f>ROUND(B14*0.0478803,2)</f>
        <v>0</v>
      </c>
      <c r="K14" s="69"/>
      <c r="L14" s="5">
        <f>ROUND(D14*0.004788,2)</f>
        <v>0</v>
      </c>
      <c r="M14" s="69"/>
      <c r="N14" s="5">
        <f>ROUND(F14*0.0004882,2)</f>
        <v>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</row>
    <row r="15" spans="2:29" ht="15" customHeight="1" x14ac:dyDescent="0.3"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</row>
    <row r="16" spans="2:29" ht="30" customHeight="1" x14ac:dyDescent="0.3">
      <c r="B16" s="72" t="s">
        <v>5</v>
      </c>
      <c r="C16" s="69"/>
      <c r="D16" s="73" t="s">
        <v>6</v>
      </c>
      <c r="E16" s="69"/>
      <c r="F16" s="73" t="s">
        <v>4</v>
      </c>
      <c r="G16" s="69"/>
      <c r="H16" s="73" t="s">
        <v>7</v>
      </c>
      <c r="I16" s="69"/>
      <c r="J16" s="73" t="s">
        <v>8</v>
      </c>
      <c r="K16" s="69"/>
      <c r="L16" s="73" t="s">
        <v>9</v>
      </c>
      <c r="M16" s="69"/>
      <c r="N16" s="73" t="s">
        <v>10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</row>
    <row r="17" spans="2:29" ht="30" customHeight="1" x14ac:dyDescent="0.3">
      <c r="B17" s="3"/>
      <c r="C17" s="69"/>
      <c r="D17" s="5">
        <f>ROUND(B17*0.0098692,2)</f>
        <v>0</v>
      </c>
      <c r="E17" s="69"/>
      <c r="F17" s="5">
        <f>ROUND(B17*0.01,2)</f>
        <v>0</v>
      </c>
      <c r="G17" s="69"/>
      <c r="H17" s="5">
        <f>ROUND(B17*0.1450377,2)</f>
        <v>0</v>
      </c>
      <c r="I17" s="69"/>
      <c r="J17" s="5">
        <f>ROUND(B17*20.8854342,2)</f>
        <v>0</v>
      </c>
      <c r="K17" s="69"/>
      <c r="L17" s="5">
        <f>ROUND(D17*0.1,2)</f>
        <v>0</v>
      </c>
      <c r="M17" s="69"/>
      <c r="N17" s="5">
        <f>ROUND(F17*0.0101972,2)</f>
        <v>0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</row>
    <row r="18" spans="2:29" ht="15" customHeight="1" x14ac:dyDescent="0.3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</row>
    <row r="19" spans="2:29" ht="30" customHeight="1" x14ac:dyDescent="0.3">
      <c r="B19" s="72" t="s">
        <v>9</v>
      </c>
      <c r="C19" s="69"/>
      <c r="D19" s="73" t="s">
        <v>6</v>
      </c>
      <c r="E19" s="69"/>
      <c r="F19" s="73" t="s">
        <v>4</v>
      </c>
      <c r="G19" s="69"/>
      <c r="H19" s="73" t="s">
        <v>7</v>
      </c>
      <c r="I19" s="69"/>
      <c r="J19" s="73" t="s">
        <v>8</v>
      </c>
      <c r="K19" s="69"/>
      <c r="L19" s="73" t="s">
        <v>5</v>
      </c>
      <c r="M19" s="69"/>
      <c r="N19" s="73" t="s">
        <v>10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</row>
    <row r="20" spans="2:29" ht="30" customHeight="1" x14ac:dyDescent="0.3">
      <c r="B20" s="6"/>
      <c r="C20" s="69"/>
      <c r="D20" s="5">
        <f>ROUND(B20*0.0986923,2)</f>
        <v>0</v>
      </c>
      <c r="E20" s="69"/>
      <c r="F20" s="5">
        <f>ROUND(B20*0.1,2)</f>
        <v>0</v>
      </c>
      <c r="G20" s="69"/>
      <c r="H20" s="5">
        <f>ROUND(B20*1.4503774,2)</f>
        <v>0</v>
      </c>
      <c r="I20" s="69"/>
      <c r="J20" s="5">
        <f>ROUND(B20*208.8543423,2)</f>
        <v>0</v>
      </c>
      <c r="K20" s="69"/>
      <c r="L20" s="5">
        <f>ROUND(B20*10,2)</f>
        <v>0</v>
      </c>
      <c r="M20" s="69"/>
      <c r="N20" s="5">
        <f>ROUND(B20*0.1019716,2)</f>
        <v>0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2:29" ht="15" customHeight="1" x14ac:dyDescent="0.3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2:29" ht="30" customHeight="1" x14ac:dyDescent="0.3">
      <c r="B22" s="72" t="s">
        <v>10</v>
      </c>
      <c r="C22" s="69"/>
      <c r="D22" s="73" t="s">
        <v>6</v>
      </c>
      <c r="E22" s="69"/>
      <c r="F22" s="73" t="s">
        <v>4</v>
      </c>
      <c r="G22" s="69"/>
      <c r="H22" s="73" t="s">
        <v>7</v>
      </c>
      <c r="I22" s="69"/>
      <c r="J22" s="73" t="s">
        <v>8</v>
      </c>
      <c r="K22" s="69"/>
      <c r="L22" s="73" t="s">
        <v>5</v>
      </c>
      <c r="M22" s="69"/>
      <c r="N22" s="73" t="s">
        <v>9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</row>
    <row r="23" spans="2:29" ht="30" customHeight="1" x14ac:dyDescent="0.3">
      <c r="B23" s="6"/>
      <c r="C23" s="69"/>
      <c r="D23" s="5">
        <f>ROUND(B23*0.9678411,2)</f>
        <v>0</v>
      </c>
      <c r="E23" s="69"/>
      <c r="F23" s="5">
        <f>ROUND(B23*0.980665,2)</f>
        <v>0</v>
      </c>
      <c r="G23" s="69"/>
      <c r="H23" s="5">
        <f>ROUND(B23*14.2233433,2)</f>
        <v>0</v>
      </c>
      <c r="I23" s="69"/>
      <c r="J23" s="5">
        <f>ROUND(B23*2048.1614362,2)</f>
        <v>0</v>
      </c>
      <c r="K23" s="69"/>
      <c r="L23" s="5">
        <f>ROUND(B23*98.0665,2)</f>
        <v>0</v>
      </c>
      <c r="M23" s="69"/>
      <c r="N23" s="5">
        <f>ROUND(B23*9.80665,2)</f>
        <v>0</v>
      </c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</row>
    <row r="24" spans="2:29" x14ac:dyDescent="0.3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</row>
    <row r="25" spans="2:29" x14ac:dyDescent="0.3">
      <c r="B25" s="69"/>
      <c r="C25" s="69"/>
      <c r="D25" s="70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</row>
    <row r="26" spans="2:29" x14ac:dyDescent="0.3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</row>
    <row r="27" spans="2:29" x14ac:dyDescent="0.3"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</row>
    <row r="28" spans="2:29" x14ac:dyDescent="0.3"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</row>
    <row r="29" spans="2:29" x14ac:dyDescent="0.3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</row>
    <row r="30" spans="2:29" x14ac:dyDescent="0.3"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</row>
    <row r="31" spans="2:29" x14ac:dyDescent="0.3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</row>
    <row r="32" spans="2:29" x14ac:dyDescent="0.3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</row>
    <row r="33" spans="2:29" x14ac:dyDescent="0.3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</row>
    <row r="34" spans="2:29" ht="65.150000000000006" customHeight="1" x14ac:dyDescent="0.3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</row>
    <row r="35" spans="2:29" x14ac:dyDescent="0.3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</row>
    <row r="36" spans="2:29" x14ac:dyDescent="0.3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2:29" x14ac:dyDescent="0.3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</row>
    <row r="38" spans="2:29" x14ac:dyDescent="0.3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</row>
    <row r="39" spans="2:29" x14ac:dyDescent="0.3"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</row>
    <row r="40" spans="2:29" x14ac:dyDescent="0.3"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</row>
    <row r="41" spans="2:29" x14ac:dyDescent="0.3"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</row>
    <row r="42" spans="2:29" x14ac:dyDescent="0.3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</row>
    <row r="43" spans="2:29" x14ac:dyDescent="0.3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</row>
    <row r="44" spans="2:29" x14ac:dyDescent="0.3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</row>
    <row r="45" spans="2:29" x14ac:dyDescent="0.3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</row>
    <row r="46" spans="2:29" x14ac:dyDescent="0.3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</row>
    <row r="47" spans="2:29" x14ac:dyDescent="0.3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</row>
    <row r="48" spans="2:29" x14ac:dyDescent="0.3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</row>
    <row r="49" spans="2:29" x14ac:dyDescent="0.3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</row>
    <row r="50" spans="2:29" x14ac:dyDescent="0.3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</row>
    <row r="51" spans="2:29" x14ac:dyDescent="0.3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</row>
    <row r="52" spans="2:29" x14ac:dyDescent="0.3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</row>
    <row r="53" spans="2:29" x14ac:dyDescent="0.3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</row>
    <row r="54" spans="2:29" x14ac:dyDescent="0.3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</row>
    <row r="55" spans="2:29" x14ac:dyDescent="0.3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</row>
    <row r="56" spans="2:29" x14ac:dyDescent="0.3"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</row>
    <row r="57" spans="2:29" x14ac:dyDescent="0.3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</row>
    <row r="58" spans="2:29" x14ac:dyDescent="0.3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</row>
    <row r="59" spans="2:29" x14ac:dyDescent="0.3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</row>
    <row r="60" spans="2:29" x14ac:dyDescent="0.3"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</row>
    <row r="61" spans="2:29" x14ac:dyDescent="0.3"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</row>
    <row r="62" spans="2:29" x14ac:dyDescent="0.3"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</row>
    <row r="63" spans="2:29" x14ac:dyDescent="0.3"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2:29" x14ac:dyDescent="0.3"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</row>
  </sheetData>
  <hyperlinks>
    <hyperlink ref="N2" location="Cockpit!A1" display="HOME" xr:uid="{7D8777E1-5E79-4824-941C-7A4685856082}"/>
  </hyperlinks>
  <pageMargins left="1" right="1" top="1" bottom="1" header="0.5" footer="0.5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1AEE-2A52-45E9-954D-8DE6AFCBC12D}">
  <sheetPr codeName="Sheet4">
    <tabColor rgb="FF00B0F0"/>
    <pageSetUpPr fitToPage="1"/>
  </sheetPr>
  <dimension ref="A1:U37"/>
  <sheetViews>
    <sheetView zoomScale="80" zoomScaleNormal="80" workbookViewId="0">
      <selection activeCell="J2" sqref="J2"/>
    </sheetView>
  </sheetViews>
  <sheetFormatPr defaultColWidth="25.54296875" defaultRowHeight="13" x14ac:dyDescent="0.35"/>
  <cols>
    <col min="1" max="1" width="12.36328125" style="12" customWidth="1"/>
    <col min="2" max="2" width="37" style="12" customWidth="1"/>
    <col min="3" max="3" width="4.54296875" style="12" customWidth="1"/>
    <col min="4" max="4" width="39.81640625" style="12" customWidth="1"/>
    <col min="5" max="5" width="4.54296875" style="12" customWidth="1"/>
    <col min="6" max="6" width="30.54296875" style="12" customWidth="1"/>
    <col min="7" max="7" width="4.54296875" style="12" customWidth="1"/>
    <col min="8" max="8" width="30.54296875" style="12" customWidth="1"/>
    <col min="9" max="9" width="4.54296875" style="12" customWidth="1"/>
    <col min="10" max="10" width="23.54296875" style="12" customWidth="1"/>
    <col min="11" max="11" width="4.54296875" style="12" customWidth="1"/>
    <col min="12" max="12" width="23.54296875" style="12" customWidth="1"/>
    <col min="13" max="13" width="4.54296875" style="12" customWidth="1"/>
    <col min="14" max="14" width="23.54296875" style="12" customWidth="1"/>
    <col min="15" max="16384" width="25.54296875" style="12"/>
  </cols>
  <sheetData>
    <row r="1" spans="1:21" ht="20.149999999999999" customHeight="1" x14ac:dyDescent="0.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4"/>
      <c r="U1" s="11"/>
    </row>
    <row r="2" spans="1:21" ht="20.149999999999999" customHeight="1" x14ac:dyDescent="0.3">
      <c r="A2" s="70"/>
      <c r="B2" s="70"/>
      <c r="C2" s="70"/>
      <c r="D2" s="70"/>
      <c r="E2" s="70"/>
      <c r="F2" s="70"/>
      <c r="G2" s="70"/>
      <c r="H2" s="70"/>
      <c r="I2" s="70"/>
      <c r="J2" s="114" t="s">
        <v>110</v>
      </c>
      <c r="K2" s="70"/>
      <c r="L2" s="70"/>
      <c r="M2" s="70"/>
      <c r="N2" s="70"/>
      <c r="O2" s="70"/>
      <c r="P2" s="70"/>
      <c r="Q2" s="70"/>
      <c r="R2" s="70"/>
      <c r="S2" s="70"/>
      <c r="T2" s="74"/>
      <c r="U2" s="11"/>
    </row>
    <row r="3" spans="1:21" ht="20.149999999999999" customHeight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4"/>
      <c r="U3" s="11"/>
    </row>
    <row r="4" spans="1:21" ht="20.149999999999999" customHeigh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4"/>
      <c r="U4" s="11"/>
    </row>
    <row r="5" spans="1:21" ht="30" customHeight="1" x14ac:dyDescent="0.3">
      <c r="A5" s="70"/>
      <c r="B5" s="72" t="s">
        <v>11</v>
      </c>
      <c r="C5" s="70"/>
      <c r="D5" s="73" t="s">
        <v>12</v>
      </c>
      <c r="E5" s="71"/>
      <c r="F5" s="73" t="s">
        <v>13</v>
      </c>
      <c r="G5" s="70"/>
      <c r="H5" s="73" t="s">
        <v>14</v>
      </c>
      <c r="I5" s="70"/>
      <c r="J5" s="75"/>
      <c r="K5" s="70"/>
      <c r="L5" s="75"/>
      <c r="M5" s="70"/>
      <c r="N5" s="75"/>
      <c r="O5" s="70"/>
      <c r="P5" s="70"/>
      <c r="Q5" s="70"/>
      <c r="R5" s="70"/>
      <c r="S5" s="70"/>
      <c r="T5" s="11"/>
      <c r="U5" s="11"/>
    </row>
    <row r="6" spans="1:21" ht="30" customHeight="1" x14ac:dyDescent="0.3">
      <c r="A6" s="70"/>
      <c r="B6" s="13">
        <v>0</v>
      </c>
      <c r="C6" s="70"/>
      <c r="D6" s="4">
        <f>ROUND(B6*998876.32,3)</f>
        <v>0</v>
      </c>
      <c r="E6" s="71"/>
      <c r="F6" s="4">
        <f>ROUND(B6*36.1283391,3)</f>
        <v>0</v>
      </c>
      <c r="G6" s="70"/>
      <c r="H6" s="4">
        <f>ROUND(B6*8345.6459246,3)</f>
        <v>0</v>
      </c>
      <c r="I6" s="70"/>
      <c r="J6" s="76"/>
      <c r="K6" s="70"/>
      <c r="L6" s="76"/>
      <c r="M6" s="70"/>
      <c r="N6" s="77"/>
      <c r="O6" s="70"/>
      <c r="P6" s="70"/>
      <c r="Q6" s="70"/>
      <c r="R6" s="70"/>
      <c r="S6" s="70"/>
      <c r="T6" s="11"/>
      <c r="U6" s="11"/>
    </row>
    <row r="7" spans="1:21" ht="15" customHeight="1" x14ac:dyDescent="0.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11"/>
      <c r="U7" s="11"/>
    </row>
    <row r="8" spans="1:21" ht="30" customHeight="1" x14ac:dyDescent="0.3">
      <c r="A8" s="70"/>
      <c r="B8" s="72" t="s">
        <v>12</v>
      </c>
      <c r="C8" s="70"/>
      <c r="D8" s="73" t="s">
        <v>11</v>
      </c>
      <c r="E8" s="70"/>
      <c r="F8" s="73" t="s">
        <v>13</v>
      </c>
      <c r="G8" s="70"/>
      <c r="H8" s="73" t="s">
        <v>14</v>
      </c>
      <c r="I8" s="70"/>
      <c r="J8" s="75"/>
      <c r="K8" s="70"/>
      <c r="L8" s="75"/>
      <c r="M8" s="70"/>
      <c r="N8" s="75"/>
      <c r="O8" s="70"/>
      <c r="P8" s="70"/>
      <c r="Q8" s="70"/>
      <c r="R8" s="70"/>
      <c r="S8" s="70"/>
      <c r="T8" s="11"/>
      <c r="U8" s="11"/>
    </row>
    <row r="9" spans="1:21" ht="30" customHeight="1" x14ac:dyDescent="0.3">
      <c r="A9" s="70"/>
      <c r="B9" s="13"/>
      <c r="C9" s="70"/>
      <c r="D9" s="5">
        <f>ROUND(B9*0.000016,3)</f>
        <v>0</v>
      </c>
      <c r="E9" s="70"/>
      <c r="F9" s="5">
        <f>ROUND(B9*0.0005787,3)</f>
        <v>0</v>
      </c>
      <c r="G9" s="70"/>
      <c r="H9" s="5">
        <f>ROUND(B9*0.1336805,3)</f>
        <v>0</v>
      </c>
      <c r="I9" s="70"/>
      <c r="J9" s="77"/>
      <c r="K9" s="70"/>
      <c r="L9" s="77"/>
      <c r="M9" s="70"/>
      <c r="N9" s="77"/>
      <c r="O9" s="70"/>
      <c r="P9" s="70"/>
      <c r="Q9" s="70"/>
      <c r="R9" s="70"/>
      <c r="S9" s="70"/>
      <c r="T9" s="11"/>
      <c r="U9" s="11"/>
    </row>
    <row r="10" spans="1:21" ht="15" customHeight="1" x14ac:dyDescent="0.3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11"/>
      <c r="U10" s="11"/>
    </row>
    <row r="11" spans="1:21" ht="30" customHeight="1" x14ac:dyDescent="0.3">
      <c r="A11" s="70"/>
      <c r="B11" s="72" t="s">
        <v>13</v>
      </c>
      <c r="C11" s="70"/>
      <c r="D11" s="73" t="s">
        <v>11</v>
      </c>
      <c r="E11" s="70"/>
      <c r="F11" s="73" t="s">
        <v>12</v>
      </c>
      <c r="G11" s="70"/>
      <c r="H11" s="73" t="s">
        <v>14</v>
      </c>
      <c r="I11" s="70"/>
      <c r="J11" s="75"/>
      <c r="K11" s="70"/>
      <c r="L11" s="75"/>
      <c r="M11" s="70"/>
      <c r="N11" s="75"/>
      <c r="O11" s="70"/>
      <c r="P11" s="70"/>
      <c r="Q11" s="70"/>
      <c r="R11" s="70"/>
      <c r="S11" s="70"/>
      <c r="T11" s="11"/>
      <c r="U11" s="11"/>
    </row>
    <row r="12" spans="1:21" ht="30" customHeight="1" x14ac:dyDescent="0.3">
      <c r="A12" s="70"/>
      <c r="B12" s="13"/>
      <c r="C12" s="70"/>
      <c r="D12" s="5">
        <f>ROUND(B12*0.0276791,2)</f>
        <v>0</v>
      </c>
      <c r="E12" s="70"/>
      <c r="F12" s="5">
        <f>ROUND(B12*1728,2)</f>
        <v>0</v>
      </c>
      <c r="G12" s="70"/>
      <c r="H12" s="5">
        <f>ROUND(B12*230.9999886,2)</f>
        <v>0</v>
      </c>
      <c r="I12" s="70"/>
      <c r="J12" s="77"/>
      <c r="K12" s="70"/>
      <c r="L12" s="77"/>
      <c r="M12" s="70"/>
      <c r="N12" s="77"/>
      <c r="O12" s="70"/>
      <c r="P12" s="70"/>
      <c r="Q12" s="70"/>
      <c r="R12" s="70"/>
      <c r="S12" s="70"/>
      <c r="T12" s="11"/>
      <c r="U12" s="11"/>
    </row>
    <row r="13" spans="1:21" ht="15" customHeight="1" x14ac:dyDescent="0.3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11"/>
      <c r="U13" s="11"/>
    </row>
    <row r="14" spans="1:21" ht="30" customHeight="1" x14ac:dyDescent="0.3">
      <c r="A14" s="70"/>
      <c r="B14" s="72" t="s">
        <v>14</v>
      </c>
      <c r="C14" s="70"/>
      <c r="D14" s="73" t="s">
        <v>11</v>
      </c>
      <c r="E14" s="70"/>
      <c r="F14" s="73" t="s">
        <v>12</v>
      </c>
      <c r="G14" s="70"/>
      <c r="H14" s="73" t="s">
        <v>13</v>
      </c>
      <c r="I14" s="70"/>
      <c r="J14" s="75"/>
      <c r="K14" s="70"/>
      <c r="L14" s="75"/>
      <c r="M14" s="70"/>
      <c r="N14" s="75"/>
      <c r="O14" s="70"/>
      <c r="P14" s="70"/>
      <c r="Q14" s="70"/>
      <c r="R14" s="70"/>
      <c r="S14" s="70"/>
      <c r="T14" s="11"/>
      <c r="U14" s="11"/>
    </row>
    <row r="15" spans="1:21" ht="30" customHeight="1" x14ac:dyDescent="0.3">
      <c r="A15" s="70"/>
      <c r="B15" s="13"/>
      <c r="C15" s="70"/>
      <c r="D15" s="5">
        <f>ROUND(B15*0.0001198,2)</f>
        <v>0</v>
      </c>
      <c r="E15" s="70"/>
      <c r="F15" s="5">
        <f>ROUND(B15*7.4805199,2)</f>
        <v>0</v>
      </c>
      <c r="G15" s="70"/>
      <c r="H15" s="5">
        <f>ROUND(B15*0.004329,2)</f>
        <v>0</v>
      </c>
      <c r="I15" s="70"/>
      <c r="J15" s="77"/>
      <c r="K15" s="70"/>
      <c r="L15" s="77"/>
      <c r="M15" s="70"/>
      <c r="N15" s="77"/>
      <c r="O15" s="70"/>
      <c r="P15" s="70"/>
      <c r="Q15" s="70"/>
      <c r="R15" s="70"/>
      <c r="S15" s="70"/>
      <c r="T15" s="11"/>
      <c r="U15" s="11"/>
    </row>
    <row r="16" spans="1:21" ht="15" customHeight="1" x14ac:dyDescent="0.3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11"/>
      <c r="U16" s="11"/>
    </row>
    <row r="17" spans="1:21" ht="25" customHeight="1" x14ac:dyDescent="0.3">
      <c r="A17" s="70"/>
      <c r="B17" s="75"/>
      <c r="C17" s="70"/>
      <c r="D17" s="75"/>
      <c r="E17" s="70"/>
      <c r="F17" s="75"/>
      <c r="G17" s="70"/>
      <c r="H17" s="75"/>
      <c r="I17" s="70"/>
      <c r="J17" s="75"/>
      <c r="K17" s="70"/>
      <c r="L17" s="75"/>
      <c r="M17" s="70"/>
      <c r="N17" s="75"/>
      <c r="O17" s="70"/>
      <c r="P17" s="70"/>
      <c r="Q17" s="70"/>
      <c r="R17" s="70"/>
      <c r="S17" s="70"/>
      <c r="T17" s="11"/>
      <c r="U17" s="11"/>
    </row>
    <row r="18" spans="1:21" ht="25" customHeight="1" x14ac:dyDescent="0.3">
      <c r="A18" s="70"/>
      <c r="B18" s="70"/>
      <c r="C18" s="70"/>
      <c r="D18" s="77"/>
      <c r="E18" s="70"/>
      <c r="F18" s="77"/>
      <c r="G18" s="70"/>
      <c r="H18" s="77"/>
      <c r="I18" s="70"/>
      <c r="J18" s="77"/>
      <c r="K18" s="70"/>
      <c r="L18" s="77"/>
      <c r="M18" s="70"/>
      <c r="N18" s="77"/>
      <c r="O18" s="70"/>
      <c r="P18" s="70"/>
      <c r="Q18" s="70"/>
      <c r="R18" s="70"/>
      <c r="S18" s="70"/>
      <c r="T18" s="11"/>
      <c r="U18" s="11"/>
    </row>
    <row r="19" spans="1:21" ht="15" customHeight="1" x14ac:dyDescent="0.3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1"/>
      <c r="U19" s="11"/>
    </row>
    <row r="20" spans="1:21" ht="25" customHeight="1" x14ac:dyDescent="0.3">
      <c r="A20" s="70"/>
      <c r="B20" s="75"/>
      <c r="C20" s="70"/>
      <c r="D20" s="75"/>
      <c r="E20" s="70"/>
      <c r="F20" s="75"/>
      <c r="G20" s="70"/>
      <c r="H20" s="75"/>
      <c r="I20" s="70"/>
      <c r="J20" s="75"/>
      <c r="K20" s="70"/>
      <c r="L20" s="75"/>
      <c r="M20" s="70"/>
      <c r="N20" s="75"/>
      <c r="O20" s="70"/>
      <c r="P20" s="70"/>
      <c r="Q20" s="70"/>
      <c r="R20" s="70"/>
      <c r="S20" s="70"/>
      <c r="T20" s="11"/>
      <c r="U20" s="11"/>
    </row>
    <row r="21" spans="1:21" ht="25" customHeight="1" x14ac:dyDescent="0.3">
      <c r="A21" s="70"/>
      <c r="B21" s="70"/>
      <c r="C21" s="70"/>
      <c r="D21" s="77"/>
      <c r="E21" s="70"/>
      <c r="F21" s="77"/>
      <c r="G21" s="70"/>
      <c r="H21" s="77"/>
      <c r="I21" s="70"/>
      <c r="J21" s="77"/>
      <c r="K21" s="70"/>
      <c r="L21" s="77"/>
      <c r="M21" s="70"/>
      <c r="N21" s="77"/>
      <c r="O21" s="70"/>
      <c r="P21" s="70"/>
      <c r="Q21" s="70"/>
      <c r="R21" s="70"/>
      <c r="S21" s="70"/>
      <c r="T21" s="11"/>
      <c r="U21" s="11"/>
    </row>
    <row r="22" spans="1:21" ht="15" customHeight="1" x14ac:dyDescent="0.3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11"/>
      <c r="U22" s="11"/>
    </row>
    <row r="23" spans="1:21" ht="25" customHeight="1" x14ac:dyDescent="0.3">
      <c r="A23" s="70"/>
      <c r="B23" s="75"/>
      <c r="C23" s="70"/>
      <c r="D23" s="75"/>
      <c r="E23" s="70"/>
      <c r="F23" s="75"/>
      <c r="G23" s="70"/>
      <c r="H23" s="75"/>
      <c r="I23" s="70"/>
      <c r="J23" s="75"/>
      <c r="K23" s="70"/>
      <c r="L23" s="75"/>
      <c r="M23" s="70"/>
      <c r="N23" s="75"/>
      <c r="O23" s="70"/>
      <c r="P23" s="70"/>
      <c r="Q23" s="70"/>
      <c r="R23" s="70"/>
      <c r="S23" s="70"/>
      <c r="T23" s="11"/>
      <c r="U23" s="11"/>
    </row>
    <row r="24" spans="1:21" ht="25" customHeight="1" x14ac:dyDescent="0.3">
      <c r="A24" s="70"/>
      <c r="B24" s="70"/>
      <c r="C24" s="70"/>
      <c r="D24" s="77"/>
      <c r="E24" s="70"/>
      <c r="F24" s="77"/>
      <c r="G24" s="70"/>
      <c r="H24" s="77"/>
      <c r="I24" s="70"/>
      <c r="J24" s="77"/>
      <c r="K24" s="70"/>
      <c r="L24" s="77"/>
      <c r="M24" s="70"/>
      <c r="N24" s="77"/>
      <c r="O24" s="70"/>
      <c r="P24" s="70"/>
      <c r="Q24" s="70"/>
      <c r="R24" s="70"/>
      <c r="S24" s="70"/>
      <c r="T24" s="11"/>
      <c r="U24" s="11"/>
    </row>
    <row r="25" spans="1:21" ht="14" x14ac:dyDescent="0.3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11"/>
      <c r="U25" s="11"/>
    </row>
    <row r="26" spans="1:21" ht="14" x14ac:dyDescent="0.3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11"/>
      <c r="U26" s="11"/>
    </row>
    <row r="27" spans="1:21" ht="14" x14ac:dyDescent="0.3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11"/>
      <c r="U27" s="11"/>
    </row>
    <row r="28" spans="1:21" ht="14" x14ac:dyDescent="0.3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11"/>
      <c r="U28" s="11"/>
    </row>
    <row r="29" spans="1:21" ht="14" x14ac:dyDescent="0.3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11"/>
      <c r="U29" s="11"/>
    </row>
    <row r="30" spans="1:21" ht="14" x14ac:dyDescent="0.3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11"/>
      <c r="U30" s="11"/>
    </row>
    <row r="31" spans="1:21" ht="14" x14ac:dyDescent="0.3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11"/>
      <c r="U31" s="11"/>
    </row>
    <row r="32" spans="1:21" ht="14" x14ac:dyDescent="0.3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11"/>
      <c r="U32" s="11"/>
    </row>
    <row r="33" spans="1:21" ht="14" x14ac:dyDescent="0.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11"/>
      <c r="U33" s="11"/>
    </row>
    <row r="34" spans="1:21" ht="14" x14ac:dyDescent="0.3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11"/>
      <c r="U34" s="11"/>
    </row>
    <row r="35" spans="1:21" ht="14" x14ac:dyDescent="0.3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11"/>
      <c r="U35" s="11"/>
    </row>
    <row r="36" spans="1:21" x14ac:dyDescent="0.3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spans="1:21" x14ac:dyDescent="0.3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</sheetData>
  <hyperlinks>
    <hyperlink ref="J2" location="Cockpit!A1" display="HOME" xr:uid="{C8CDFFC8-BC20-4161-AE5B-B459B9775FFA}"/>
  </hyperlinks>
  <pageMargins left="1" right="1" top="1" bottom="1" header="0.5" footer="0.5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BDED-95FC-4F7F-BC19-F8E977175ACB}">
  <sheetPr codeName="Sheet5">
    <tabColor rgb="FF00B0F0"/>
    <pageSetUpPr fitToPage="1"/>
  </sheetPr>
  <dimension ref="A1:U42"/>
  <sheetViews>
    <sheetView zoomScale="80" zoomScaleNormal="80" workbookViewId="0">
      <selection activeCell="J2" sqref="J2"/>
    </sheetView>
  </sheetViews>
  <sheetFormatPr defaultColWidth="18.54296875" defaultRowHeight="12.5" x14ac:dyDescent="0.35"/>
  <cols>
    <col min="1" max="1" width="14.81640625" style="19" customWidth="1"/>
    <col min="2" max="2" width="25.54296875" style="19" customWidth="1"/>
    <col min="3" max="3" width="3.54296875" style="19" customWidth="1"/>
    <col min="4" max="4" width="25.54296875" style="19" customWidth="1"/>
    <col min="5" max="5" width="3.54296875" style="19" customWidth="1"/>
    <col min="6" max="6" width="25.54296875" style="19" customWidth="1"/>
    <col min="7" max="7" width="3.54296875" style="19" customWidth="1"/>
    <col min="8" max="8" width="25.54296875" style="19" customWidth="1"/>
    <col min="9" max="9" width="3.54296875" style="19" customWidth="1"/>
    <col min="10" max="10" width="25.54296875" style="19" customWidth="1"/>
    <col min="11" max="11" width="5.1796875" style="19" customWidth="1"/>
    <col min="12" max="16384" width="18.54296875" style="19"/>
  </cols>
  <sheetData>
    <row r="1" spans="1:21" ht="32.15" customHeight="1" x14ac:dyDescent="0.3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ht="32.15" customHeight="1" x14ac:dyDescent="0.35">
      <c r="A2" s="78"/>
      <c r="B2" s="78"/>
      <c r="C2" s="78"/>
      <c r="D2" s="78"/>
      <c r="E2" s="78"/>
      <c r="F2" s="78"/>
      <c r="G2" s="78"/>
      <c r="H2" s="78"/>
      <c r="I2" s="78"/>
      <c r="J2" s="114" t="s">
        <v>110</v>
      </c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28.25" customHeight="1" x14ac:dyDescent="0.3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spans="1:21" s="20" customFormat="1" ht="30" customHeight="1" x14ac:dyDescent="0.35">
      <c r="A4" s="79"/>
      <c r="B4" s="72" t="s">
        <v>15</v>
      </c>
      <c r="C4" s="80"/>
      <c r="D4" s="73" t="s">
        <v>16</v>
      </c>
      <c r="E4" s="81"/>
      <c r="F4" s="73" t="s">
        <v>17</v>
      </c>
      <c r="G4" s="80"/>
      <c r="H4" s="73" t="s">
        <v>18</v>
      </c>
      <c r="I4" s="80"/>
      <c r="J4" s="73" t="s">
        <v>19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s="20" customFormat="1" ht="30" customHeight="1" x14ac:dyDescent="0.35">
      <c r="A5" s="79"/>
      <c r="B5" s="17">
        <v>0</v>
      </c>
      <c r="C5" s="80"/>
      <c r="D5" s="18">
        <f>ROUND(B5*2.2046226,2)</f>
        <v>0</v>
      </c>
      <c r="E5" s="81"/>
      <c r="F5" s="18">
        <f>ROUND(B5*0.001,2)</f>
        <v>0</v>
      </c>
      <c r="G5" s="80"/>
      <c r="H5" s="18">
        <f>ROUND(B5*32.1507466,2)</f>
        <v>0</v>
      </c>
      <c r="I5" s="80"/>
      <c r="J5" s="18">
        <f>ROUND(B5*35.2739619,2)</f>
        <v>0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x14ac:dyDescent="0.3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spans="1:21" s="20" customFormat="1" ht="30" customHeight="1" x14ac:dyDescent="0.35">
      <c r="A7" s="79"/>
      <c r="B7" s="72" t="s">
        <v>16</v>
      </c>
      <c r="C7" s="79"/>
      <c r="D7" s="73" t="s">
        <v>15</v>
      </c>
      <c r="E7" s="79"/>
      <c r="F7" s="73" t="s">
        <v>17</v>
      </c>
      <c r="G7" s="79"/>
      <c r="H7" s="73" t="s">
        <v>18</v>
      </c>
      <c r="I7" s="79"/>
      <c r="J7" s="73" t="s">
        <v>19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</row>
    <row r="8" spans="1:21" s="20" customFormat="1" ht="30" customHeight="1" x14ac:dyDescent="0.35">
      <c r="A8" s="79"/>
      <c r="B8" s="15"/>
      <c r="C8" s="79"/>
      <c r="D8" s="16">
        <f>ROUND(B8*0.4535924,2)</f>
        <v>0</v>
      </c>
      <c r="E8" s="79"/>
      <c r="F8" s="16">
        <f>ROUND(B8*0.0004536,2)</f>
        <v>0</v>
      </c>
      <c r="G8" s="79"/>
      <c r="H8" s="16">
        <f>ROUND(B8*14.5833333,2)</f>
        <v>0</v>
      </c>
      <c r="I8" s="79"/>
      <c r="J8" s="16">
        <f>ROUND(B8*16,2)</f>
        <v>0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spans="1:21" x14ac:dyDescent="0.3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spans="1:21" s="20" customFormat="1" ht="30" customHeight="1" x14ac:dyDescent="0.35">
      <c r="A10" s="79"/>
      <c r="B10" s="72" t="s">
        <v>17</v>
      </c>
      <c r="C10" s="79"/>
      <c r="D10" s="73" t="s">
        <v>15</v>
      </c>
      <c r="E10" s="79"/>
      <c r="F10" s="73" t="s">
        <v>16</v>
      </c>
      <c r="G10" s="79"/>
      <c r="H10" s="73" t="s">
        <v>18</v>
      </c>
      <c r="I10" s="79"/>
      <c r="J10" s="73" t="s">
        <v>19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 s="20" customFormat="1" ht="30" customHeight="1" x14ac:dyDescent="0.35">
      <c r="A11" s="79"/>
      <c r="B11" s="15"/>
      <c r="C11" s="79"/>
      <c r="D11" s="16">
        <f>ROUND(B11*1000,2)</f>
        <v>0</v>
      </c>
      <c r="E11" s="79"/>
      <c r="F11" s="16">
        <f>ROUND(B11*2204.6226218,2)</f>
        <v>0</v>
      </c>
      <c r="G11" s="79"/>
      <c r="H11" s="16">
        <f>ROUND(B11*32150.7465686,2)</f>
        <v>0</v>
      </c>
      <c r="I11" s="79"/>
      <c r="J11" s="16">
        <f>ROUND(B11*35273.9619496,2)</f>
        <v>0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pans="1:21" x14ac:dyDescent="0.3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spans="1:21" s="20" customFormat="1" ht="30" customHeight="1" x14ac:dyDescent="0.35">
      <c r="A13" s="79"/>
      <c r="B13" s="72" t="s">
        <v>18</v>
      </c>
      <c r="C13" s="79"/>
      <c r="D13" s="73" t="s">
        <v>15</v>
      </c>
      <c r="E13" s="79"/>
      <c r="F13" s="73" t="s">
        <v>16</v>
      </c>
      <c r="G13" s="79"/>
      <c r="H13" s="73" t="s">
        <v>17</v>
      </c>
      <c r="I13" s="79"/>
      <c r="J13" s="73" t="s">
        <v>19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spans="1:21" s="20" customFormat="1" ht="30" customHeight="1" x14ac:dyDescent="0.35">
      <c r="A14" s="79"/>
      <c r="B14" s="15"/>
      <c r="C14" s="79"/>
      <c r="D14" s="16">
        <f>ROUND(B14*0.0311035,2)</f>
        <v>0</v>
      </c>
      <c r="E14" s="79"/>
      <c r="F14" s="16">
        <f>ROUND(B14*0.0685714,2)</f>
        <v>0</v>
      </c>
      <c r="G14" s="79"/>
      <c r="H14" s="16">
        <f>ROUND(B14*0.0000311,2)</f>
        <v>0</v>
      </c>
      <c r="I14" s="79"/>
      <c r="J14" s="16">
        <f>ROUND(B14*1.0971429,2)</f>
        <v>0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</row>
    <row r="15" spans="1:21" x14ac:dyDescent="0.3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spans="1:21" s="20" customFormat="1" ht="30" customHeight="1" x14ac:dyDescent="0.35">
      <c r="A16" s="79"/>
      <c r="B16" s="72" t="s">
        <v>19</v>
      </c>
      <c r="C16" s="79"/>
      <c r="D16" s="73" t="s">
        <v>15</v>
      </c>
      <c r="E16" s="79"/>
      <c r="F16" s="73" t="s">
        <v>16</v>
      </c>
      <c r="G16" s="79"/>
      <c r="H16" s="73" t="s">
        <v>17</v>
      </c>
      <c r="I16" s="79"/>
      <c r="J16" s="73" t="s">
        <v>18</v>
      </c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spans="1:21" s="20" customFormat="1" ht="30" customHeight="1" x14ac:dyDescent="0.35">
      <c r="A17" s="79"/>
      <c r="B17" s="15"/>
      <c r="C17" s="79"/>
      <c r="D17" s="16">
        <f>ROUND(B17*0.0283495,2)</f>
        <v>0</v>
      </c>
      <c r="E17" s="79"/>
      <c r="F17" s="16">
        <f>ROUND(B17*0.0625,2)</f>
        <v>0</v>
      </c>
      <c r="G17" s="79"/>
      <c r="H17" s="16">
        <f>ROUND(B17*0.0000283,2)</f>
        <v>0</v>
      </c>
      <c r="I17" s="79"/>
      <c r="J17" s="16">
        <f>ROUND(B17*0.9114583,2)</f>
        <v>0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spans="1:21" x14ac:dyDescent="0.3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</row>
    <row r="19" spans="1:21" x14ac:dyDescent="0.3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</row>
    <row r="20" spans="1:21" x14ac:dyDescent="0.3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spans="1:21" x14ac:dyDescent="0.3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</row>
    <row r="22" spans="1:21" x14ac:dyDescent="0.3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spans="1:21" x14ac:dyDescent="0.3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</row>
    <row r="24" spans="1:21" x14ac:dyDescent="0.3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spans="1:21" x14ac:dyDescent="0.3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spans="1:21" x14ac:dyDescent="0.3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spans="1:21" x14ac:dyDescent="0.3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spans="1:21" x14ac:dyDescent="0.3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</row>
    <row r="29" spans="1:21" x14ac:dyDescent="0.3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spans="1:21" x14ac:dyDescent="0.3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spans="1:21" x14ac:dyDescent="0.3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</row>
    <row r="32" spans="1:21" x14ac:dyDescent="0.3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1:21" x14ac:dyDescent="0.3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  <row r="34" spans="1:21" x14ac:dyDescent="0.3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</row>
    <row r="35" spans="1:21" x14ac:dyDescent="0.3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</row>
    <row r="36" spans="1:21" x14ac:dyDescent="0.3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</row>
    <row r="37" spans="1:21" x14ac:dyDescent="0.3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</row>
    <row r="38" spans="1:21" x14ac:dyDescent="0.3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</row>
    <row r="39" spans="1:21" x14ac:dyDescent="0.3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</row>
    <row r="40" spans="1:21" x14ac:dyDescent="0.3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</row>
    <row r="41" spans="1:21" x14ac:dyDescent="0.3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</row>
    <row r="42" spans="1:21" x14ac:dyDescent="0.3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</row>
  </sheetData>
  <hyperlinks>
    <hyperlink ref="J2" location="Cockpit!A1" display="HOME" xr:uid="{FC1CFDA2-05FE-41B7-95A5-C5D460993272}"/>
  </hyperlinks>
  <pageMargins left="1" right="1" top="1" bottom="1" header="0.5" footer="0.5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802D-6C45-4D8B-A913-30D477303149}">
  <sheetPr codeName="Sheet6">
    <tabColor rgb="FF00B0F0"/>
    <pageSetUpPr fitToPage="1"/>
  </sheetPr>
  <dimension ref="A1:W53"/>
  <sheetViews>
    <sheetView zoomScale="80" zoomScaleNormal="80" workbookViewId="0">
      <selection activeCell="J2" sqref="J2"/>
    </sheetView>
  </sheetViews>
  <sheetFormatPr defaultColWidth="18.54296875" defaultRowHeight="13" x14ac:dyDescent="0.35"/>
  <cols>
    <col min="1" max="1" width="9.6328125" style="26" customWidth="1"/>
    <col min="2" max="2" width="28.08984375" style="26" customWidth="1"/>
    <col min="3" max="3" width="3.54296875" style="26" customWidth="1"/>
    <col min="4" max="4" width="31.54296875" style="26" customWidth="1"/>
    <col min="5" max="5" width="3.54296875" style="26" customWidth="1"/>
    <col min="6" max="6" width="29.81640625" style="26" customWidth="1"/>
    <col min="7" max="7" width="3.54296875" style="26" customWidth="1"/>
    <col min="8" max="8" width="29.90625" style="26" customWidth="1"/>
    <col min="9" max="9" width="3.54296875" style="26" customWidth="1"/>
    <col min="10" max="10" width="29.453125" style="26" customWidth="1"/>
    <col min="11" max="11" width="2.08984375" style="26" customWidth="1"/>
    <col min="12" max="16384" width="18.54296875" style="26"/>
  </cols>
  <sheetData>
    <row r="1" spans="1:23" ht="20.149999999999999" customHeight="1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20.149999999999999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114" t="s">
        <v>110</v>
      </c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20.149999999999999" customHeight="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30" customHeight="1" x14ac:dyDescent="0.35">
      <c r="A4" s="66"/>
      <c r="B4" s="63" t="s">
        <v>20</v>
      </c>
      <c r="C4" s="66"/>
      <c r="D4" s="64" t="s">
        <v>21</v>
      </c>
      <c r="E4" s="67"/>
      <c r="F4" s="64" t="s">
        <v>22</v>
      </c>
      <c r="G4" s="66"/>
      <c r="H4" s="64" t="s">
        <v>23</v>
      </c>
      <c r="I4" s="66"/>
      <c r="J4" s="64" t="s">
        <v>24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23" ht="30" customHeight="1" x14ac:dyDescent="0.35">
      <c r="A5" s="66"/>
      <c r="B5" s="21"/>
      <c r="C5" s="66"/>
      <c r="D5" s="22">
        <f>ROUND(B5*5581322.842616,3)</f>
        <v>0</v>
      </c>
      <c r="E5" s="67"/>
      <c r="F5" s="22">
        <f>ROUND(B5*5416.3057397,3)</f>
        <v>0</v>
      </c>
      <c r="G5" s="66"/>
      <c r="H5" s="23">
        <f>ROUND(B5*434441900.868483,3)</f>
        <v>0</v>
      </c>
      <c r="I5" s="66"/>
      <c r="J5" s="23">
        <f>ROUND(B5*1635.7243319,3)</f>
        <v>0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x14ac:dyDescent="0.3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ht="30" customHeight="1" x14ac:dyDescent="0.35">
      <c r="A7" s="66"/>
      <c r="B7" s="63" t="s">
        <v>21</v>
      </c>
      <c r="C7" s="66"/>
      <c r="D7" s="64" t="s">
        <v>20</v>
      </c>
      <c r="E7" s="66"/>
      <c r="F7" s="64" t="s">
        <v>22</v>
      </c>
      <c r="G7" s="66"/>
      <c r="H7" s="64" t="s">
        <v>23</v>
      </c>
      <c r="I7" s="66"/>
      <c r="J7" s="64" t="s">
        <v>24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ht="30" customHeight="1" x14ac:dyDescent="0.35">
      <c r="A8" s="66"/>
      <c r="B8" s="21"/>
      <c r="C8" s="66"/>
      <c r="D8" s="24">
        <f>ROUND(B8*0.0000001792,3)</f>
        <v>0</v>
      </c>
      <c r="E8" s="66"/>
      <c r="F8" s="25">
        <f>ROUND(B8*0.0097043,3)</f>
        <v>0</v>
      </c>
      <c r="G8" s="66"/>
      <c r="H8" s="24">
        <f>ROUND(B8*7782.1011673,3)</f>
        <v>0</v>
      </c>
      <c r="I8" s="66"/>
      <c r="J8" s="24">
        <f>ROUND(B8*0.0029307,3)</f>
        <v>0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x14ac:dyDescent="0.3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ht="30" customHeight="1" x14ac:dyDescent="0.35">
      <c r="A10" s="66"/>
      <c r="B10" s="63" t="s">
        <v>22</v>
      </c>
      <c r="C10" s="66"/>
      <c r="D10" s="64" t="s">
        <v>20</v>
      </c>
      <c r="E10" s="66"/>
      <c r="F10" s="64" t="s">
        <v>21</v>
      </c>
      <c r="G10" s="66"/>
      <c r="H10" s="64" t="s">
        <v>23</v>
      </c>
      <c r="I10" s="66"/>
      <c r="J10" s="64" t="s">
        <v>24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spans="1:23" ht="30" customHeight="1" x14ac:dyDescent="0.35">
      <c r="A11" s="66"/>
      <c r="B11" s="21"/>
      <c r="C11" s="66"/>
      <c r="D11" s="24">
        <f>ROUND(B11*0.00018463,3)</f>
        <v>0</v>
      </c>
      <c r="E11" s="66"/>
      <c r="F11" s="25">
        <f>ROUND(B11*1030.466726,3)</f>
        <v>0</v>
      </c>
      <c r="G11" s="66"/>
      <c r="H11" s="24">
        <f>ROUND(B11*801919.6311284,3)</f>
        <v>0</v>
      </c>
      <c r="I11" s="66"/>
      <c r="J11" s="24">
        <f>ROUND(B11*0.302,2)</f>
        <v>0</v>
      </c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spans="1:23" x14ac:dyDescent="0.3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</row>
    <row r="13" spans="1:23" ht="30" customHeight="1" x14ac:dyDescent="0.35">
      <c r="A13" s="66"/>
      <c r="B13" s="63" t="s">
        <v>52</v>
      </c>
      <c r="C13" s="66"/>
      <c r="D13" s="64" t="s">
        <v>53</v>
      </c>
      <c r="E13" s="66"/>
      <c r="F13" s="64" t="s">
        <v>21</v>
      </c>
      <c r="G13" s="66"/>
      <c r="H13" s="64" t="s">
        <v>22</v>
      </c>
      <c r="I13" s="66"/>
      <c r="J13" s="64" t="s">
        <v>24</v>
      </c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3" ht="30" customHeight="1" x14ac:dyDescent="0.35">
      <c r="A14" s="66"/>
      <c r="B14" s="21"/>
      <c r="C14" s="66"/>
      <c r="D14" s="24">
        <f>ROUND(B14*0.00023,3)</f>
        <v>0</v>
      </c>
      <c r="E14" s="66"/>
      <c r="F14" s="25">
        <f>ROUND(B14*0.1285,3)</f>
        <v>0</v>
      </c>
      <c r="G14" s="66"/>
      <c r="H14" s="25">
        <f>ROUND(B14*0.00012,3)</f>
        <v>0</v>
      </c>
      <c r="I14" s="66"/>
      <c r="J14" s="24">
        <f>ROUND(B14*0.000038,2)</f>
        <v>0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1:23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</row>
    <row r="16" spans="1:23" ht="30" customHeight="1" x14ac:dyDescent="0.35">
      <c r="A16" s="66"/>
      <c r="B16" s="63" t="s">
        <v>24</v>
      </c>
      <c r="C16" s="66"/>
      <c r="D16" s="64" t="s">
        <v>20</v>
      </c>
      <c r="E16" s="66"/>
      <c r="F16" s="64" t="s">
        <v>21</v>
      </c>
      <c r="G16" s="66"/>
      <c r="H16" s="64" t="s">
        <v>22</v>
      </c>
      <c r="I16" s="66"/>
      <c r="J16" s="64" t="s">
        <v>23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</row>
    <row r="17" spans="1:23" ht="30" customHeight="1" x14ac:dyDescent="0.35">
      <c r="A17" s="66"/>
      <c r="B17" s="21"/>
      <c r="C17" s="66"/>
      <c r="D17" s="24">
        <f>ROUND(B17*0.0006113,3)</f>
        <v>0</v>
      </c>
      <c r="E17" s="66"/>
      <c r="F17" s="25">
        <f>ROUND(B17*3412.1414799,3)</f>
        <v>0</v>
      </c>
      <c r="G17" s="66"/>
      <c r="H17" s="25">
        <f>ROUND(B17*3.3112583,3)</f>
        <v>0</v>
      </c>
      <c r="I17" s="66"/>
      <c r="J17" s="24">
        <f>ROUND(B17*2655363.0193774,2)</f>
        <v>0</v>
      </c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</row>
    <row r="18" spans="1:23" x14ac:dyDescent="0.3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</row>
    <row r="19" spans="1:23" x14ac:dyDescent="0.3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x14ac:dyDescent="0.3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</row>
    <row r="21" spans="1:23" x14ac:dyDescent="0.3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</row>
    <row r="22" spans="1:23" x14ac:dyDescent="0.3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</row>
    <row r="23" spans="1:23" x14ac:dyDescent="0.3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</row>
    <row r="24" spans="1:23" x14ac:dyDescent="0.3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</row>
    <row r="25" spans="1:23" x14ac:dyDescent="0.3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</row>
    <row r="26" spans="1:23" x14ac:dyDescent="0.3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x14ac:dyDescent="0.3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x14ac:dyDescent="0.3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</row>
    <row r="29" spans="1:23" x14ac:dyDescent="0.3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</row>
    <row r="30" spans="1:23" x14ac:dyDescent="0.3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</row>
    <row r="31" spans="1:23" x14ac:dyDescent="0.3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</row>
    <row r="32" spans="1:23" x14ac:dyDescent="0.3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</row>
    <row r="33" spans="1:23" x14ac:dyDescent="0.3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</row>
    <row r="34" spans="1:23" x14ac:dyDescent="0.3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</row>
    <row r="35" spans="1:23" x14ac:dyDescent="0.3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</row>
    <row r="36" spans="1:23" x14ac:dyDescent="0.3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</row>
    <row r="37" spans="1:23" x14ac:dyDescent="0.3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</row>
    <row r="38" spans="1:23" x14ac:dyDescent="0.3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</row>
    <row r="39" spans="1:23" x14ac:dyDescent="0.3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</row>
    <row r="40" spans="1:23" x14ac:dyDescent="0.3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</row>
    <row r="41" spans="1:23" x14ac:dyDescent="0.3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</row>
    <row r="42" spans="1:23" x14ac:dyDescent="0.3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</row>
    <row r="43" spans="1:23" x14ac:dyDescent="0.3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</row>
    <row r="44" spans="1:23" x14ac:dyDescent="0.3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</row>
    <row r="45" spans="1:23" x14ac:dyDescent="0.3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</row>
    <row r="46" spans="1:23" x14ac:dyDescent="0.3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</row>
    <row r="47" spans="1:23" x14ac:dyDescent="0.3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</row>
    <row r="48" spans="1:23" x14ac:dyDescent="0.3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</row>
    <row r="49" spans="1:23" x14ac:dyDescent="0.3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</row>
    <row r="50" spans="1:23" x14ac:dyDescent="0.3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</row>
    <row r="51" spans="1:23" x14ac:dyDescent="0.3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</row>
    <row r="52" spans="1:23" x14ac:dyDescent="0.3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</row>
    <row r="53" spans="1:23" x14ac:dyDescent="0.3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</row>
  </sheetData>
  <hyperlinks>
    <hyperlink ref="J2" location="Cockpit!A1" display="HOME" xr:uid="{7526CF07-A7D1-4134-B037-29787E8F1BAC}"/>
  </hyperlinks>
  <pageMargins left="1" right="1" top="1" bottom="1" header="0.5" footer="0.5"/>
  <pageSetup paperSize="9" scale="4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15FA-2C2C-4976-899E-3B53D3F7AD47}">
  <sheetPr codeName="Sheet7">
    <tabColor rgb="FF00B0F0"/>
    <pageSetUpPr fitToPage="1"/>
  </sheetPr>
  <dimension ref="A1:BT64"/>
  <sheetViews>
    <sheetView zoomScale="92" zoomScaleNormal="92" workbookViewId="0">
      <selection activeCell="J3" sqref="J3"/>
    </sheetView>
  </sheetViews>
  <sheetFormatPr defaultColWidth="25.54296875" defaultRowHeight="13" x14ac:dyDescent="0.35"/>
  <cols>
    <col min="1" max="1" width="8.54296875" style="12" customWidth="1"/>
    <col min="2" max="2" width="30.54296875" style="12" customWidth="1"/>
    <col min="3" max="3" width="4.54296875" style="12" customWidth="1"/>
    <col min="4" max="4" width="30.54296875" style="12" customWidth="1"/>
    <col min="5" max="5" width="4.54296875" style="12" customWidth="1"/>
    <col min="6" max="6" width="30.54296875" style="12" customWidth="1"/>
    <col min="7" max="7" width="4.54296875" style="12" customWidth="1"/>
    <col min="8" max="8" width="30.54296875" style="12" customWidth="1"/>
    <col min="9" max="9" width="4.54296875" style="12" customWidth="1"/>
    <col min="10" max="10" width="23.54296875" style="12" customWidth="1"/>
    <col min="11" max="11" width="4.54296875" style="12" customWidth="1"/>
    <col min="12" max="12" width="23.54296875" style="12" customWidth="1"/>
    <col min="13" max="13" width="4.54296875" style="12" customWidth="1"/>
    <col min="14" max="14" width="23.54296875" style="12" customWidth="1"/>
    <col min="15" max="16384" width="25.54296875" style="12"/>
  </cols>
  <sheetData>
    <row r="1" spans="1:72" s="2" customFormat="1" x14ac:dyDescent="0.3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</row>
    <row r="2" spans="1:72" s="2" customFormat="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</row>
    <row r="3" spans="1:72" ht="20.149999999999999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114" t="s">
        <v>110</v>
      </c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</row>
    <row r="4" spans="1:72" ht="20.149999999999999" customHeight="1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72" ht="30" customHeight="1" x14ac:dyDescent="0.35">
      <c r="A5" s="70"/>
      <c r="B5" s="72" t="s">
        <v>25</v>
      </c>
      <c r="C5" s="70"/>
      <c r="D5" s="73" t="s">
        <v>26</v>
      </c>
      <c r="E5" s="71"/>
      <c r="F5" s="73" t="s">
        <v>27</v>
      </c>
      <c r="G5" s="70"/>
      <c r="H5" s="73" t="s">
        <v>28</v>
      </c>
      <c r="I5" s="70"/>
      <c r="J5" s="75"/>
      <c r="K5" s="70"/>
      <c r="L5" s="75"/>
      <c r="M5" s="70"/>
      <c r="N5" s="75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 spans="1:72" ht="30" customHeight="1" x14ac:dyDescent="0.35">
      <c r="A6" s="70"/>
      <c r="B6" s="17"/>
      <c r="C6" s="70"/>
      <c r="D6" s="18">
        <f>ROUND(B6*2.2046244,3)</f>
        <v>0</v>
      </c>
      <c r="E6" s="71"/>
      <c r="F6" s="18">
        <f>ROUND(B6*0.0006944,2)</f>
        <v>0</v>
      </c>
      <c r="G6" s="70"/>
      <c r="H6" s="18">
        <f>ROUND(B6*0.001531,2)</f>
        <v>0</v>
      </c>
      <c r="I6" s="70"/>
      <c r="J6" s="76"/>
      <c r="K6" s="70"/>
      <c r="L6" s="76"/>
      <c r="M6" s="70"/>
      <c r="N6" s="77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 spans="1:72" ht="15" customHeight="1" x14ac:dyDescent="0.3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 spans="1:72" ht="30" customHeight="1" x14ac:dyDescent="0.35">
      <c r="A8" s="70"/>
      <c r="B8" s="72" t="s">
        <v>26</v>
      </c>
      <c r="C8" s="70"/>
      <c r="D8" s="73" t="s">
        <v>25</v>
      </c>
      <c r="E8" s="70"/>
      <c r="F8" s="73" t="s">
        <v>27</v>
      </c>
      <c r="G8" s="70"/>
      <c r="H8" s="73" t="s">
        <v>28</v>
      </c>
      <c r="I8" s="70"/>
      <c r="J8" s="75"/>
      <c r="K8" s="70"/>
      <c r="L8" s="75"/>
      <c r="M8" s="70"/>
      <c r="N8" s="75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 spans="1:72" ht="30" customHeight="1" x14ac:dyDescent="0.35">
      <c r="A9" s="70"/>
      <c r="B9" s="17"/>
      <c r="C9" s="70"/>
      <c r="D9" s="16">
        <f>ROUND(B9*0.453592,2)</f>
        <v>0</v>
      </c>
      <c r="E9" s="70"/>
      <c r="F9" s="16">
        <f>ROUND(B9*0.000315,2)</f>
        <v>0</v>
      </c>
      <c r="G9" s="70"/>
      <c r="H9" s="16">
        <f>ROUND(B9*0.0006944,2)</f>
        <v>0</v>
      </c>
      <c r="I9" s="70"/>
      <c r="J9" s="77"/>
      <c r="K9" s="70"/>
      <c r="L9" s="77"/>
      <c r="M9" s="70"/>
      <c r="N9" s="77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</row>
    <row r="10" spans="1:72" ht="15" customHeight="1" x14ac:dyDescent="0.3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 spans="1:72" ht="30" customHeight="1" x14ac:dyDescent="0.35">
      <c r="A11" s="70"/>
      <c r="B11" s="72" t="s">
        <v>27</v>
      </c>
      <c r="C11" s="70"/>
      <c r="D11" s="73" t="s">
        <v>25</v>
      </c>
      <c r="E11" s="70"/>
      <c r="F11" s="73" t="s">
        <v>26</v>
      </c>
      <c r="G11" s="70"/>
      <c r="H11" s="73" t="s">
        <v>28</v>
      </c>
      <c r="I11" s="70"/>
      <c r="J11" s="75"/>
      <c r="K11" s="70"/>
      <c r="L11" s="75"/>
      <c r="M11" s="70"/>
      <c r="N11" s="75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 spans="1:72" ht="30" customHeight="1" x14ac:dyDescent="0.35">
      <c r="A12" s="70"/>
      <c r="B12" s="17"/>
      <c r="C12" s="70"/>
      <c r="D12" s="16">
        <f>ROUND(B12*1440,2)</f>
        <v>0</v>
      </c>
      <c r="E12" s="70"/>
      <c r="F12" s="16">
        <f>ROUND(B12*3174.6591651,2)</f>
        <v>0</v>
      </c>
      <c r="G12" s="70"/>
      <c r="H12" s="16">
        <f>ROUND(B12*2.2046244,2)</f>
        <v>0</v>
      </c>
      <c r="I12" s="70"/>
      <c r="J12" s="77"/>
      <c r="K12" s="70"/>
      <c r="L12" s="77"/>
      <c r="M12" s="70"/>
      <c r="N12" s="77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 spans="1:72" ht="15" customHeight="1" x14ac:dyDescent="0.3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 spans="1:72" ht="30" customHeight="1" x14ac:dyDescent="0.35">
      <c r="A14" s="70"/>
      <c r="B14" s="72" t="s">
        <v>28</v>
      </c>
      <c r="C14" s="70"/>
      <c r="D14" s="73" t="s">
        <v>25</v>
      </c>
      <c r="E14" s="70"/>
      <c r="F14" s="73" t="s">
        <v>26</v>
      </c>
      <c r="G14" s="70"/>
      <c r="H14" s="73" t="s">
        <v>27</v>
      </c>
      <c r="I14" s="70"/>
      <c r="J14" s="75"/>
      <c r="K14" s="70"/>
      <c r="L14" s="75"/>
      <c r="M14" s="70"/>
      <c r="N14" s="75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 spans="1:72" ht="30" customHeight="1" x14ac:dyDescent="0.35">
      <c r="A15" s="70"/>
      <c r="B15" s="17"/>
      <c r="C15" s="70"/>
      <c r="D15" s="16">
        <f>ROUND(B15*653.17248,2)</f>
        <v>0</v>
      </c>
      <c r="E15" s="70"/>
      <c r="F15" s="16">
        <f>ROUND(B15*1440,2)</f>
        <v>0</v>
      </c>
      <c r="G15" s="70"/>
      <c r="H15" s="16">
        <f>ROUND(B15*0.453592,2)</f>
        <v>0</v>
      </c>
      <c r="I15" s="70"/>
      <c r="J15" s="77"/>
      <c r="K15" s="70"/>
      <c r="L15" s="77"/>
      <c r="M15" s="70"/>
      <c r="N15" s="77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 spans="1:72" ht="15" customHeight="1" x14ac:dyDescent="0.3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 spans="1:27" ht="25" customHeight="1" x14ac:dyDescent="0.35">
      <c r="A17" s="70"/>
      <c r="B17" s="75"/>
      <c r="C17" s="70"/>
      <c r="D17" s="75"/>
      <c r="E17" s="70"/>
      <c r="F17" s="75"/>
      <c r="G17" s="70"/>
      <c r="H17" s="75"/>
      <c r="I17" s="70"/>
      <c r="J17" s="75"/>
      <c r="K17" s="70"/>
      <c r="L17" s="75"/>
      <c r="M17" s="70"/>
      <c r="N17" s="75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 spans="1:27" ht="25" customHeight="1" x14ac:dyDescent="0.35">
      <c r="A18" s="70"/>
      <c r="B18" s="70"/>
      <c r="C18" s="70"/>
      <c r="D18" s="77"/>
      <c r="E18" s="70"/>
      <c r="F18" s="77"/>
      <c r="G18" s="70"/>
      <c r="H18" s="77"/>
      <c r="I18" s="70"/>
      <c r="J18" s="77"/>
      <c r="K18" s="70"/>
      <c r="L18" s="77"/>
      <c r="M18" s="70"/>
      <c r="N18" s="77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 spans="1:27" ht="15" customHeight="1" x14ac:dyDescent="0.3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 spans="1:27" ht="25" customHeight="1" x14ac:dyDescent="0.35">
      <c r="A20" s="70"/>
      <c r="B20" s="75"/>
      <c r="C20" s="70"/>
      <c r="D20" s="75"/>
      <c r="E20" s="70"/>
      <c r="F20" s="75"/>
      <c r="G20" s="70"/>
      <c r="H20" s="75"/>
      <c r="I20" s="70"/>
      <c r="J20" s="75"/>
      <c r="K20" s="70"/>
      <c r="L20" s="75"/>
      <c r="M20" s="70"/>
      <c r="N20" s="75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 spans="1:27" ht="25" customHeight="1" x14ac:dyDescent="0.35">
      <c r="A21" s="70"/>
      <c r="B21" s="70"/>
      <c r="C21" s="70"/>
      <c r="D21" s="77"/>
      <c r="E21" s="70"/>
      <c r="F21" s="77"/>
      <c r="G21" s="70"/>
      <c r="H21" s="77"/>
      <c r="I21" s="70"/>
      <c r="J21" s="77"/>
      <c r="K21" s="70"/>
      <c r="L21" s="77"/>
      <c r="M21" s="70"/>
      <c r="N21" s="77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:27" ht="15" customHeight="1" x14ac:dyDescent="0.3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:27" ht="25" customHeight="1" x14ac:dyDescent="0.35">
      <c r="A23" s="70"/>
      <c r="B23" s="75"/>
      <c r="C23" s="70"/>
      <c r="D23" s="75"/>
      <c r="E23" s="70"/>
      <c r="F23" s="75"/>
      <c r="G23" s="70"/>
      <c r="H23" s="75"/>
      <c r="I23" s="70"/>
      <c r="J23" s="75"/>
      <c r="K23" s="70"/>
      <c r="L23" s="75"/>
      <c r="M23" s="70"/>
      <c r="N23" s="75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1:27" ht="25" customHeight="1" x14ac:dyDescent="0.35">
      <c r="A24" s="70"/>
      <c r="B24" s="70"/>
      <c r="C24" s="70"/>
      <c r="D24" s="77"/>
      <c r="E24" s="70"/>
      <c r="F24" s="77"/>
      <c r="G24" s="70"/>
      <c r="H24" s="77"/>
      <c r="I24" s="70"/>
      <c r="J24" s="77"/>
      <c r="K24" s="70"/>
      <c r="L24" s="77"/>
      <c r="M24" s="70"/>
      <c r="N24" s="77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1:27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1:27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1:27" x14ac:dyDescent="0.3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1:27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1:27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1:27" x14ac:dyDescent="0.3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 spans="1:27" x14ac:dyDescent="0.3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 spans="1:27" x14ac:dyDescent="0.3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1:27" x14ac:dyDescent="0.3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1:27" x14ac:dyDescent="0.3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 spans="1:27" x14ac:dyDescent="0.3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 spans="1:27" x14ac:dyDescent="0.3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7" x14ac:dyDescent="0.3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</row>
    <row r="38" spans="1:27" x14ac:dyDescent="0.3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</row>
    <row r="39" spans="1:27" x14ac:dyDescent="0.3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spans="1:27" x14ac:dyDescent="0.3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spans="1:27" x14ac:dyDescent="0.3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spans="1:27" x14ac:dyDescent="0.3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</row>
    <row r="43" spans="1:27" x14ac:dyDescent="0.3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</row>
    <row r="44" spans="1:27" x14ac:dyDescent="0.3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</row>
    <row r="45" spans="1:27" x14ac:dyDescent="0.3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</row>
    <row r="46" spans="1:27" x14ac:dyDescent="0.3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</row>
    <row r="47" spans="1:27" x14ac:dyDescent="0.3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</row>
    <row r="48" spans="1:27" x14ac:dyDescent="0.3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</row>
    <row r="49" spans="1:21" x14ac:dyDescent="0.3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</row>
    <row r="50" spans="1:21" x14ac:dyDescent="0.3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1:21" x14ac:dyDescent="0.3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</row>
    <row r="52" spans="1:21" x14ac:dyDescent="0.3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</row>
    <row r="53" spans="1:21" x14ac:dyDescent="0.3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</row>
    <row r="54" spans="1:21" x14ac:dyDescent="0.3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</row>
    <row r="55" spans="1:21" x14ac:dyDescent="0.3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</row>
    <row r="56" spans="1:21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</row>
    <row r="57" spans="1:21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</row>
    <row r="58" spans="1:21" x14ac:dyDescent="0.3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</row>
    <row r="59" spans="1:21" x14ac:dyDescent="0.3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</row>
    <row r="60" spans="1:21" x14ac:dyDescent="0.3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</row>
    <row r="61" spans="1:21" x14ac:dyDescent="0.3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</row>
    <row r="62" spans="1:21" x14ac:dyDescent="0.3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</row>
    <row r="63" spans="1:21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</row>
    <row r="64" spans="1:21" x14ac:dyDescent="0.3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</row>
  </sheetData>
  <hyperlinks>
    <hyperlink ref="J3" location="Cockpit!A1" display="HOME" xr:uid="{74AEDC41-641A-4769-B7A0-610163274CE3}"/>
  </hyperlinks>
  <pageMargins left="1" right="1" top="1" bottom="1" header="0.5" footer="0.5"/>
  <pageSetup paperSize="9" scale="3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0FE4-8AD6-4485-BBF2-5549128E65D3}">
  <sheetPr codeName="Sheet8">
    <tabColor rgb="FF00B0F0"/>
    <pageSetUpPr fitToPage="1"/>
  </sheetPr>
  <dimension ref="A1:U125"/>
  <sheetViews>
    <sheetView zoomScale="80" zoomScaleNormal="80" workbookViewId="0">
      <selection activeCell="J2" sqref="J2"/>
    </sheetView>
  </sheetViews>
  <sheetFormatPr defaultColWidth="18.54296875" defaultRowHeight="12.5" x14ac:dyDescent="0.25"/>
  <cols>
    <col min="1" max="1" width="7" style="14" customWidth="1"/>
    <col min="2" max="2" width="28.36328125" style="14" customWidth="1"/>
    <col min="3" max="3" width="3.81640625" style="14" customWidth="1"/>
    <col min="4" max="4" width="27.90625" style="14" customWidth="1"/>
    <col min="5" max="5" width="3.6328125" style="14" customWidth="1"/>
    <col min="6" max="6" width="27.453125" style="14" customWidth="1"/>
    <col min="7" max="7" width="3.54296875" style="14" customWidth="1"/>
    <col min="8" max="8" width="26.54296875" style="14" customWidth="1"/>
    <col min="9" max="9" width="3.81640625" style="14" customWidth="1"/>
    <col min="10" max="10" width="27.36328125" style="14" customWidth="1"/>
    <col min="11" max="11" width="2.08984375" style="83" customWidth="1"/>
    <col min="12" max="21" width="18.54296875" style="83"/>
    <col min="22" max="16384" width="18.54296875" style="14"/>
  </cols>
  <sheetData>
    <row r="1" spans="1:10" ht="20.149999999999999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0" ht="20.149999999999999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114" t="s">
        <v>110</v>
      </c>
    </row>
    <row r="3" spans="1:10" ht="20.149999999999999" customHeight="1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</row>
    <row r="4" spans="1:10" ht="20.149999999999999" customHeight="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 ht="30" customHeight="1" x14ac:dyDescent="0.25">
      <c r="A5" s="83"/>
      <c r="B5" s="82" t="s">
        <v>29</v>
      </c>
      <c r="C5" s="70"/>
      <c r="D5" s="73" t="s">
        <v>30</v>
      </c>
      <c r="E5" s="71"/>
      <c r="F5" s="73" t="s">
        <v>31</v>
      </c>
      <c r="G5" s="70"/>
      <c r="H5" s="73" t="s">
        <v>32</v>
      </c>
      <c r="I5" s="70"/>
      <c r="J5" s="73" t="s">
        <v>33</v>
      </c>
    </row>
    <row r="6" spans="1:10" ht="30" customHeight="1" x14ac:dyDescent="0.25">
      <c r="A6" s="83"/>
      <c r="B6" s="3">
        <v>0</v>
      </c>
      <c r="C6" s="70"/>
      <c r="D6" s="4">
        <f>ROUND(B6*5.6145928,3)</f>
        <v>0</v>
      </c>
      <c r="E6" s="71"/>
      <c r="F6" s="4">
        <f>ROUND(B6*0.2339414,3)</f>
        <v>0</v>
      </c>
      <c r="G6" s="70"/>
      <c r="H6" s="4">
        <f>ROUND(B6*42.0000211,1)</f>
        <v>0</v>
      </c>
      <c r="I6" s="70"/>
      <c r="J6" s="4">
        <f>ROUND(B6*1.7500009,1)</f>
        <v>0</v>
      </c>
    </row>
    <row r="7" spans="1:10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</row>
    <row r="8" spans="1:10" ht="30" customHeight="1" x14ac:dyDescent="0.25">
      <c r="A8" s="83"/>
      <c r="B8" s="82" t="s">
        <v>30</v>
      </c>
      <c r="C8" s="83"/>
      <c r="D8" s="73" t="s">
        <v>29</v>
      </c>
      <c r="E8" s="83"/>
      <c r="F8" s="73" t="s">
        <v>31</v>
      </c>
      <c r="G8" s="83"/>
      <c r="H8" s="73" t="s">
        <v>32</v>
      </c>
      <c r="I8" s="83"/>
      <c r="J8" s="73" t="s">
        <v>33</v>
      </c>
    </row>
    <row r="9" spans="1:10" ht="30" customHeight="1" x14ac:dyDescent="0.25">
      <c r="A9" s="83"/>
      <c r="B9" s="27"/>
      <c r="C9" s="83"/>
      <c r="D9" s="5">
        <f>ROUND(B9*0.1781073,1)</f>
        <v>0</v>
      </c>
      <c r="E9" s="83"/>
      <c r="F9" s="5">
        <f>ROUND(B9*0.0416667,2)</f>
        <v>0</v>
      </c>
      <c r="G9" s="83"/>
      <c r="H9" s="5">
        <f>ROUND(B9*7.4805107,2)</f>
        <v>0</v>
      </c>
      <c r="I9" s="83"/>
      <c r="J9" s="5">
        <f>ROUND(B9*0.3116879,2)</f>
        <v>0</v>
      </c>
    </row>
    <row r="10" spans="1:10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</row>
    <row r="11" spans="1:10" ht="30" customHeight="1" x14ac:dyDescent="0.25">
      <c r="A11" s="83"/>
      <c r="B11" s="82" t="s">
        <v>31</v>
      </c>
      <c r="C11" s="83"/>
      <c r="D11" s="73" t="s">
        <v>29</v>
      </c>
      <c r="E11" s="83"/>
      <c r="F11" s="73" t="s">
        <v>30</v>
      </c>
      <c r="G11" s="83"/>
      <c r="H11" s="73" t="s">
        <v>32</v>
      </c>
      <c r="I11" s="83"/>
      <c r="J11" s="73" t="s">
        <v>33</v>
      </c>
    </row>
    <row r="12" spans="1:10" ht="30" customHeight="1" x14ac:dyDescent="0.25">
      <c r="A12" s="83"/>
      <c r="B12" s="27"/>
      <c r="C12" s="83"/>
      <c r="D12" s="5">
        <f>ROUND(B12*4.2745754,2)</f>
        <v>0</v>
      </c>
      <c r="E12" s="83"/>
      <c r="F12" s="5">
        <f>ROUND(B12*24,2)</f>
        <v>0</v>
      </c>
      <c r="G12" s="83"/>
      <c r="H12" s="5">
        <f>ROUND(B12*179.5322567,2)</f>
        <v>0</v>
      </c>
      <c r="I12" s="83"/>
      <c r="J12" s="5">
        <f>ROUND(B12*7.4805107,2)</f>
        <v>0</v>
      </c>
    </row>
    <row r="13" spans="1:10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0" ht="30" customHeight="1" x14ac:dyDescent="0.25">
      <c r="A14" s="83"/>
      <c r="B14" s="82" t="s">
        <v>32</v>
      </c>
      <c r="C14" s="83"/>
      <c r="D14" s="73" t="s">
        <v>29</v>
      </c>
      <c r="E14" s="83"/>
      <c r="F14" s="73" t="s">
        <v>30</v>
      </c>
      <c r="G14" s="83"/>
      <c r="H14" s="73" t="s">
        <v>31</v>
      </c>
      <c r="I14" s="83"/>
      <c r="J14" s="73" t="s">
        <v>33</v>
      </c>
    </row>
    <row r="15" spans="1:10" ht="30" customHeight="1" x14ac:dyDescent="0.25">
      <c r="A15" s="83"/>
      <c r="B15" s="27"/>
      <c r="C15" s="83"/>
      <c r="D15" s="5">
        <f>ROUND(B15*0.0238095,2)</f>
        <v>0</v>
      </c>
      <c r="E15" s="83"/>
      <c r="F15" s="5">
        <f>ROUND(B15*0.1336807,2)</f>
        <v>0</v>
      </c>
      <c r="G15" s="83"/>
      <c r="H15" s="5">
        <f>ROUND(B15*0.00557,2)</f>
        <v>0</v>
      </c>
      <c r="I15" s="83"/>
      <c r="J15" s="5">
        <f>ROUND(B15*0.0416667,2)</f>
        <v>0</v>
      </c>
    </row>
    <row r="16" spans="1:10" x14ac:dyDescent="0.25">
      <c r="A16" s="83"/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30" customHeight="1" x14ac:dyDescent="0.25">
      <c r="A17" s="83"/>
      <c r="B17" s="82" t="s">
        <v>33</v>
      </c>
      <c r="C17" s="83"/>
      <c r="D17" s="73" t="s">
        <v>29</v>
      </c>
      <c r="E17" s="83"/>
      <c r="F17" s="73" t="s">
        <v>30</v>
      </c>
      <c r="G17" s="83"/>
      <c r="H17" s="73" t="s">
        <v>31</v>
      </c>
      <c r="I17" s="83"/>
      <c r="J17" s="73" t="s">
        <v>32</v>
      </c>
    </row>
    <row r="18" spans="1:10" ht="30" customHeight="1" x14ac:dyDescent="0.25">
      <c r="A18" s="83"/>
      <c r="B18" s="27"/>
      <c r="C18" s="83"/>
      <c r="D18" s="5">
        <f>ROUND(B18*0.5714283,2)</f>
        <v>0</v>
      </c>
      <c r="E18" s="83"/>
      <c r="F18" s="5">
        <f>ROUND(B18*3.2083371,2)</f>
        <v>0</v>
      </c>
      <c r="G18" s="83"/>
      <c r="H18" s="5">
        <f>ROUND(B18*3.2083371,2)</f>
        <v>0</v>
      </c>
      <c r="I18" s="83"/>
      <c r="J18" s="5">
        <f>ROUND(B18*24,2)</f>
        <v>0</v>
      </c>
    </row>
    <row r="19" spans="1:10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</row>
    <row r="20" spans="1:10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</row>
    <row r="21" spans="1:10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</row>
    <row r="22" spans="1:10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</row>
    <row r="23" spans="1:10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</row>
    <row r="24" spans="1:10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</row>
    <row r="25" spans="1:10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</row>
    <row r="26" spans="1:10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 x14ac:dyDescent="0.25">
      <c r="A27" s="83"/>
      <c r="B27" s="83"/>
      <c r="C27" s="83"/>
      <c r="D27" s="83"/>
      <c r="E27" s="83"/>
      <c r="F27" s="83"/>
      <c r="G27" s="83"/>
      <c r="H27" s="83"/>
      <c r="I27" s="83"/>
      <c r="J27" s="83"/>
    </row>
    <row r="28" spans="1:10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</row>
    <row r="29" spans="1:10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</row>
    <row r="30" spans="1:10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</row>
    <row r="31" spans="1:10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</row>
    <row r="32" spans="1:10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</row>
    <row r="33" spans="1:10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</row>
    <row r="34" spans="1:10" x14ac:dyDescent="0.25">
      <c r="A34" s="83"/>
      <c r="B34" s="83"/>
      <c r="C34" s="83"/>
      <c r="D34" s="83"/>
      <c r="E34" s="83"/>
      <c r="F34" s="83"/>
      <c r="G34" s="83"/>
      <c r="H34" s="83"/>
      <c r="I34" s="83"/>
      <c r="J34" s="83"/>
    </row>
    <row r="35" spans="1:10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</row>
    <row r="36" spans="1:10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</row>
    <row r="37" spans="1:10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</row>
    <row r="38" spans="1:10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</row>
    <row r="39" spans="1:10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</row>
    <row r="40" spans="1:10" x14ac:dyDescent="0.25">
      <c r="A40" s="83"/>
      <c r="B40" s="83"/>
      <c r="C40" s="83"/>
      <c r="D40" s="83"/>
      <c r="E40" s="83"/>
      <c r="F40" s="83"/>
      <c r="G40" s="83"/>
      <c r="H40" s="83"/>
      <c r="I40" s="83"/>
      <c r="J40" s="83"/>
    </row>
    <row r="41" spans="1:10" x14ac:dyDescent="0.25">
      <c r="A41" s="83"/>
      <c r="B41" s="83"/>
      <c r="C41" s="83"/>
      <c r="D41" s="83"/>
      <c r="E41" s="83"/>
      <c r="F41" s="83"/>
      <c r="G41" s="83"/>
      <c r="H41" s="83"/>
      <c r="I41" s="83"/>
      <c r="J41" s="83"/>
    </row>
    <row r="42" spans="1:10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</row>
    <row r="43" spans="1:10" x14ac:dyDescent="0.25">
      <c r="A43" s="83"/>
      <c r="B43" s="83"/>
      <c r="C43" s="83"/>
      <c r="D43" s="83"/>
      <c r="E43" s="83"/>
      <c r="F43" s="83"/>
      <c r="G43" s="83"/>
      <c r="H43" s="83"/>
      <c r="I43" s="83"/>
      <c r="J43" s="83"/>
    </row>
    <row r="44" spans="1:10" x14ac:dyDescent="0.25">
      <c r="A44" s="83"/>
      <c r="B44" s="83"/>
      <c r="C44" s="83"/>
      <c r="D44" s="83"/>
      <c r="E44" s="83"/>
      <c r="F44" s="83"/>
      <c r="G44" s="83"/>
      <c r="H44" s="83"/>
      <c r="I44" s="83"/>
      <c r="J44" s="83"/>
    </row>
    <row r="45" spans="1:10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</row>
    <row r="46" spans="1:10" x14ac:dyDescent="0.25">
      <c r="A46" s="83"/>
      <c r="B46" s="83"/>
      <c r="C46" s="83"/>
      <c r="D46" s="83"/>
      <c r="E46" s="83"/>
      <c r="F46" s="83"/>
      <c r="G46" s="83"/>
      <c r="H46" s="83"/>
      <c r="I46" s="83"/>
      <c r="J46" s="83"/>
    </row>
    <row r="47" spans="1:10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</row>
    <row r="48" spans="1:10" x14ac:dyDescent="0.25">
      <c r="A48" s="83"/>
      <c r="B48" s="83"/>
      <c r="C48" s="83"/>
      <c r="D48" s="83"/>
      <c r="E48" s="83"/>
      <c r="F48" s="83"/>
      <c r="G48" s="83"/>
      <c r="H48" s="83"/>
      <c r="I48" s="83"/>
      <c r="J48" s="83"/>
    </row>
    <row r="49" spans="1:10" x14ac:dyDescent="0.25">
      <c r="A49" s="83"/>
      <c r="B49" s="83"/>
      <c r="C49" s="83"/>
      <c r="D49" s="83"/>
      <c r="E49" s="83"/>
      <c r="F49" s="83"/>
      <c r="G49" s="83"/>
      <c r="H49" s="83"/>
      <c r="I49" s="83"/>
      <c r="J49" s="83"/>
    </row>
    <row r="50" spans="1:10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3"/>
    </row>
    <row r="51" spans="1:10" x14ac:dyDescent="0.25">
      <c r="A51" s="83"/>
      <c r="B51" s="83"/>
      <c r="C51" s="83"/>
      <c r="D51" s="83"/>
      <c r="E51" s="83"/>
      <c r="F51" s="83"/>
      <c r="G51" s="83"/>
      <c r="H51" s="83"/>
      <c r="I51" s="83"/>
      <c r="J51" s="83"/>
    </row>
    <row r="52" spans="1:10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</row>
    <row r="53" spans="1:10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</row>
    <row r="54" spans="1:10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</row>
    <row r="55" spans="1:10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</row>
    <row r="56" spans="1:10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</row>
    <row r="57" spans="1:10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</row>
    <row r="58" spans="1:10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</row>
    <row r="59" spans="1:10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</row>
    <row r="60" spans="1:10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</row>
    <row r="61" spans="1:10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</row>
    <row r="62" spans="1:10" x14ac:dyDescent="0.25">
      <c r="A62" s="83"/>
      <c r="B62" s="83"/>
      <c r="C62" s="83"/>
      <c r="D62" s="83"/>
      <c r="E62" s="83"/>
      <c r="F62" s="83"/>
      <c r="G62" s="83"/>
      <c r="H62" s="83"/>
      <c r="I62" s="83"/>
      <c r="J62" s="83"/>
    </row>
    <row r="63" spans="1:10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</row>
    <row r="64" spans="1:10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</row>
    <row r="65" spans="1:10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</row>
    <row r="66" spans="1:10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</row>
    <row r="67" spans="1:10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</row>
    <row r="68" spans="1:10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</row>
    <row r="69" spans="1:10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</row>
    <row r="70" spans="1:10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</row>
    <row r="72" spans="1:10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</row>
    <row r="73" spans="1:10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</row>
    <row r="74" spans="1:10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</row>
    <row r="75" spans="1:10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</row>
    <row r="76" spans="1:10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</row>
    <row r="77" spans="1:10" x14ac:dyDescent="0.25">
      <c r="A77" s="83"/>
      <c r="B77" s="83"/>
      <c r="C77" s="83"/>
      <c r="D77" s="83"/>
      <c r="E77" s="83"/>
      <c r="F77" s="83"/>
      <c r="G77" s="83"/>
      <c r="H77" s="83"/>
      <c r="I77" s="83"/>
      <c r="J77" s="83"/>
    </row>
    <row r="78" spans="1:10" x14ac:dyDescent="0.25">
      <c r="A78" s="83"/>
      <c r="B78" s="83"/>
      <c r="C78" s="83"/>
      <c r="D78" s="83"/>
      <c r="E78" s="83"/>
      <c r="F78" s="83"/>
      <c r="G78" s="83"/>
      <c r="H78" s="83"/>
      <c r="I78" s="83"/>
      <c r="J78" s="83"/>
    </row>
    <row r="79" spans="1:10" x14ac:dyDescent="0.25">
      <c r="A79" s="83"/>
      <c r="B79" s="83"/>
      <c r="C79" s="83"/>
      <c r="D79" s="83"/>
      <c r="E79" s="83"/>
      <c r="F79" s="83"/>
      <c r="G79" s="83"/>
      <c r="H79" s="83"/>
      <c r="I79" s="83"/>
      <c r="J79" s="83"/>
    </row>
    <row r="80" spans="1:10" x14ac:dyDescent="0.25">
      <c r="A80" s="83"/>
      <c r="B80" s="83"/>
      <c r="C80" s="83"/>
      <c r="D80" s="83"/>
      <c r="E80" s="83"/>
      <c r="F80" s="83"/>
      <c r="G80" s="83"/>
      <c r="H80" s="83"/>
      <c r="I80" s="83"/>
      <c r="J80" s="83"/>
    </row>
    <row r="81" spans="1:10" x14ac:dyDescent="0.25">
      <c r="A81" s="83"/>
      <c r="B81" s="83"/>
      <c r="C81" s="83"/>
      <c r="D81" s="83"/>
      <c r="E81" s="83"/>
      <c r="F81" s="83"/>
      <c r="G81" s="83"/>
      <c r="H81" s="83"/>
      <c r="I81" s="83"/>
      <c r="J81" s="83"/>
    </row>
    <row r="82" spans="1:10" x14ac:dyDescent="0.25">
      <c r="A82" s="83"/>
      <c r="B82" s="83"/>
      <c r="C82" s="83"/>
      <c r="D82" s="83"/>
      <c r="E82" s="83"/>
      <c r="F82" s="83"/>
      <c r="G82" s="83"/>
      <c r="H82" s="83"/>
      <c r="I82" s="83"/>
      <c r="J82" s="83"/>
    </row>
    <row r="83" spans="1:10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</row>
    <row r="84" spans="1:10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</row>
    <row r="85" spans="1:10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</row>
    <row r="86" spans="1:10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</row>
    <row r="87" spans="1:10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</row>
    <row r="88" spans="1:10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</row>
    <row r="89" spans="1:10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</row>
    <row r="90" spans="1:10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</row>
    <row r="91" spans="1:10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</row>
    <row r="92" spans="1:10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</row>
    <row r="93" spans="1:10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</row>
    <row r="94" spans="1:10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</row>
    <row r="95" spans="1:10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</row>
    <row r="96" spans="1:10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</row>
    <row r="97" spans="1:10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</row>
    <row r="98" spans="1:10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</row>
    <row r="99" spans="1:10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</row>
    <row r="100" spans="1:10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</row>
    <row r="101" spans="1:10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</row>
    <row r="102" spans="1:10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</row>
    <row r="103" spans="1:10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</row>
    <row r="104" spans="1:10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</row>
    <row r="105" spans="1:10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</row>
    <row r="106" spans="1:10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</row>
    <row r="107" spans="1:10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</row>
    <row r="108" spans="1:10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</row>
    <row r="109" spans="1:10" x14ac:dyDescent="0.25">
      <c r="A109" s="83"/>
      <c r="B109" s="83"/>
      <c r="C109" s="83"/>
      <c r="D109" s="83"/>
      <c r="E109" s="83"/>
      <c r="F109" s="83"/>
      <c r="G109" s="83"/>
      <c r="H109" s="83"/>
      <c r="I109" s="83"/>
      <c r="J109" s="83"/>
    </row>
    <row r="110" spans="1:10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</row>
    <row r="111" spans="1:10" x14ac:dyDescent="0.25">
      <c r="A111" s="83"/>
      <c r="B111" s="83"/>
      <c r="C111" s="83"/>
      <c r="D111" s="83"/>
      <c r="E111" s="83"/>
      <c r="F111" s="83"/>
      <c r="G111" s="83"/>
      <c r="H111" s="83"/>
      <c r="I111" s="83"/>
      <c r="J111" s="83"/>
    </row>
    <row r="112" spans="1:10" x14ac:dyDescent="0.25">
      <c r="A112" s="83"/>
      <c r="B112" s="83"/>
      <c r="C112" s="83"/>
      <c r="D112" s="83"/>
      <c r="E112" s="83"/>
      <c r="F112" s="83"/>
      <c r="G112" s="83"/>
      <c r="H112" s="83"/>
      <c r="I112" s="83"/>
      <c r="J112" s="83"/>
    </row>
    <row r="113" spans="1:10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</row>
    <row r="114" spans="1:10" x14ac:dyDescent="0.25">
      <c r="A114" s="83"/>
      <c r="B114" s="83"/>
      <c r="C114" s="83"/>
      <c r="D114" s="83"/>
      <c r="E114" s="83"/>
      <c r="F114" s="83"/>
      <c r="G114" s="83"/>
      <c r="H114" s="83"/>
      <c r="I114" s="83"/>
      <c r="J114" s="83"/>
    </row>
    <row r="115" spans="1:10" x14ac:dyDescent="0.25">
      <c r="A115" s="83"/>
      <c r="B115" s="83"/>
      <c r="C115" s="83"/>
      <c r="D115" s="83"/>
      <c r="E115" s="83"/>
      <c r="F115" s="83"/>
      <c r="G115" s="83"/>
      <c r="H115" s="83"/>
      <c r="I115" s="83"/>
      <c r="J115" s="83"/>
    </row>
    <row r="116" spans="1:10" x14ac:dyDescent="0.25">
      <c r="A116" s="83"/>
      <c r="B116" s="83"/>
      <c r="C116" s="83"/>
      <c r="D116" s="83"/>
      <c r="E116" s="83"/>
      <c r="F116" s="83"/>
      <c r="G116" s="83"/>
      <c r="H116" s="83"/>
      <c r="I116" s="83"/>
      <c r="J116" s="83"/>
    </row>
    <row r="117" spans="1:10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</row>
    <row r="118" spans="1:10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</row>
    <row r="119" spans="1:10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</row>
    <row r="120" spans="1:10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</row>
    <row r="121" spans="1:10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</row>
    <row r="122" spans="1:10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</row>
    <row r="123" spans="1:10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</row>
    <row r="124" spans="1:10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</row>
    <row r="125" spans="1:10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</row>
  </sheetData>
  <hyperlinks>
    <hyperlink ref="J2" location="Cockpit!A1" display="HOME" xr:uid="{B60150BF-682B-429A-BB87-D71C80790699}"/>
  </hyperlinks>
  <pageMargins left="1" right="1" top="1" bottom="1" header="0.5" footer="0.5"/>
  <pageSetup paperSize="9"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0A2B-9056-4968-A440-AB679AB052C5}">
  <sheetPr codeName="Sheet9">
    <tabColor rgb="FF00B0F0"/>
    <pageSetUpPr fitToPage="1"/>
  </sheetPr>
  <dimension ref="A1:U34"/>
  <sheetViews>
    <sheetView zoomScale="80" zoomScaleNormal="80" workbookViewId="0">
      <selection activeCell="H2" sqref="H2"/>
    </sheetView>
  </sheetViews>
  <sheetFormatPr defaultColWidth="25.54296875" defaultRowHeight="13" x14ac:dyDescent="0.35"/>
  <cols>
    <col min="1" max="1" width="15.453125" style="12" customWidth="1"/>
    <col min="2" max="2" width="34.6328125" style="12" customWidth="1"/>
    <col min="3" max="3" width="4.54296875" style="12" customWidth="1"/>
    <col min="4" max="4" width="36.6328125" style="12" customWidth="1"/>
    <col min="5" max="5" width="4.54296875" style="12" customWidth="1"/>
    <col min="6" max="6" width="37.1796875" style="12" customWidth="1"/>
    <col min="7" max="7" width="4.54296875" style="12" customWidth="1"/>
    <col min="8" max="8" width="30.54296875" style="12" customWidth="1"/>
    <col min="9" max="9" width="4.54296875" style="12" customWidth="1"/>
    <col min="10" max="10" width="23.54296875" style="12" customWidth="1"/>
    <col min="11" max="11" width="4.54296875" style="12" customWidth="1"/>
    <col min="12" max="12" width="23.54296875" style="12" customWidth="1"/>
    <col min="13" max="13" width="4.54296875" style="12" customWidth="1"/>
    <col min="14" max="14" width="23.54296875" style="12" customWidth="1"/>
    <col min="15" max="16384" width="25.54296875" style="12"/>
  </cols>
  <sheetData>
    <row r="1" spans="1:21" s="70" customFormat="1" x14ac:dyDescent="0.35"/>
    <row r="2" spans="1:21" ht="24" customHeight="1" x14ac:dyDescent="0.35">
      <c r="A2" s="70"/>
      <c r="B2" s="70"/>
      <c r="C2" s="70"/>
      <c r="D2" s="70"/>
      <c r="E2" s="70"/>
      <c r="F2" s="70"/>
      <c r="G2" s="70"/>
      <c r="H2" s="114" t="s">
        <v>110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20.149999999999999" customHeight="1" x14ac:dyDescent="0.3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ht="20.149999999999999" customHeight="1" x14ac:dyDescent="0.25">
      <c r="A5" s="70"/>
      <c r="B5" s="70"/>
      <c r="C5" s="70"/>
      <c r="D5" s="70"/>
      <c r="E5" s="70"/>
      <c r="F5" s="70"/>
      <c r="G5" s="70"/>
      <c r="H5" s="83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1" ht="30" customHeight="1" x14ac:dyDescent="0.3">
      <c r="A6" s="70"/>
      <c r="B6" s="72" t="s">
        <v>54</v>
      </c>
      <c r="C6" s="70"/>
      <c r="D6" s="73" t="s">
        <v>55</v>
      </c>
      <c r="E6" s="71"/>
      <c r="F6" s="84"/>
      <c r="G6" s="84"/>
      <c r="H6" s="83"/>
      <c r="I6" s="70"/>
      <c r="J6" s="75"/>
      <c r="K6" s="70"/>
      <c r="L6" s="75"/>
      <c r="M6" s="70"/>
      <c r="N6" s="75"/>
      <c r="O6" s="70"/>
      <c r="P6" s="70"/>
      <c r="Q6" s="70"/>
      <c r="R6" s="70"/>
      <c r="S6" s="70"/>
      <c r="T6" s="70"/>
      <c r="U6" s="70"/>
    </row>
    <row r="7" spans="1:21" ht="30" customHeight="1" x14ac:dyDescent="0.3">
      <c r="A7" s="70"/>
      <c r="B7" s="3"/>
      <c r="C7" s="70"/>
      <c r="D7" s="4">
        <f>ROUND(B7*35.3144754,3)</f>
        <v>0</v>
      </c>
      <c r="E7" s="71"/>
      <c r="F7" s="84"/>
      <c r="G7" s="84"/>
      <c r="H7" s="83"/>
      <c r="I7" s="70"/>
      <c r="J7" s="76"/>
      <c r="K7" s="70"/>
      <c r="L7" s="76"/>
      <c r="M7" s="70"/>
      <c r="N7" s="77"/>
      <c r="O7" s="70"/>
      <c r="P7" s="70"/>
      <c r="Q7" s="70"/>
      <c r="R7" s="70"/>
      <c r="S7" s="70"/>
      <c r="T7" s="70"/>
      <c r="U7" s="70"/>
    </row>
    <row r="8" spans="1:21" ht="15" customHeight="1" x14ac:dyDescent="0.3">
      <c r="A8" s="70"/>
      <c r="B8" s="70"/>
      <c r="C8" s="70"/>
      <c r="D8" s="70"/>
      <c r="E8" s="84"/>
      <c r="F8" s="84"/>
      <c r="G8" s="70"/>
      <c r="H8" s="83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</row>
    <row r="9" spans="1:21" ht="30" customHeight="1" x14ac:dyDescent="0.3">
      <c r="A9" s="70"/>
      <c r="B9" s="72" t="s">
        <v>56</v>
      </c>
      <c r="C9" s="70"/>
      <c r="D9" s="73" t="s">
        <v>57</v>
      </c>
      <c r="E9" s="84"/>
      <c r="F9" s="84"/>
      <c r="G9" s="70"/>
      <c r="H9" s="83"/>
      <c r="I9" s="70"/>
      <c r="J9" s="75"/>
      <c r="K9" s="70"/>
      <c r="L9" s="75"/>
      <c r="M9" s="70"/>
      <c r="N9" s="75"/>
      <c r="O9" s="70"/>
      <c r="P9" s="70"/>
      <c r="Q9" s="70"/>
      <c r="R9" s="70"/>
      <c r="S9" s="70"/>
      <c r="T9" s="70"/>
      <c r="U9" s="70"/>
    </row>
    <row r="10" spans="1:21" ht="30" customHeight="1" x14ac:dyDescent="0.3">
      <c r="A10" s="70"/>
      <c r="B10" s="3"/>
      <c r="C10" s="70"/>
      <c r="D10" s="5">
        <f>ROUND(B10*0.028317,2)</f>
        <v>0</v>
      </c>
      <c r="E10" s="84"/>
      <c r="F10" s="84"/>
      <c r="G10" s="70"/>
      <c r="H10" s="83"/>
      <c r="I10" s="70"/>
      <c r="J10" s="77"/>
      <c r="K10" s="70"/>
      <c r="L10" s="77"/>
      <c r="M10" s="70"/>
      <c r="N10" s="77"/>
      <c r="O10" s="70"/>
      <c r="P10" s="70"/>
      <c r="Q10" s="70"/>
      <c r="R10" s="70"/>
      <c r="S10" s="70"/>
      <c r="T10" s="70"/>
      <c r="U10" s="70"/>
    </row>
    <row r="11" spans="1:21" ht="15" customHeight="1" x14ac:dyDescent="0.25">
      <c r="A11" s="70"/>
      <c r="B11" s="70"/>
      <c r="C11" s="70"/>
      <c r="D11" s="70"/>
      <c r="E11" s="70"/>
      <c r="F11" s="70"/>
      <c r="G11" s="70"/>
      <c r="H11" s="83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</row>
    <row r="12" spans="1:21" ht="30" customHeight="1" x14ac:dyDescent="0.3">
      <c r="A12" s="70"/>
      <c r="B12" s="84"/>
      <c r="C12" s="84"/>
      <c r="D12" s="84"/>
      <c r="E12" s="84"/>
      <c r="F12" s="84"/>
      <c r="G12" s="84"/>
      <c r="H12" s="84"/>
      <c r="I12" s="70"/>
      <c r="J12" s="77"/>
      <c r="K12" s="70"/>
      <c r="L12" s="77"/>
      <c r="M12" s="70"/>
      <c r="N12" s="77"/>
      <c r="O12" s="70"/>
      <c r="P12" s="70"/>
      <c r="Q12" s="70"/>
      <c r="R12" s="70"/>
      <c r="S12" s="70"/>
      <c r="T12" s="70"/>
      <c r="U12" s="70"/>
    </row>
    <row r="13" spans="1:21" ht="20.149999999999999" customHeight="1" x14ac:dyDescent="0.25">
      <c r="A13" s="70"/>
      <c r="B13" s="83"/>
      <c r="C13" s="83"/>
      <c r="D13" s="83"/>
      <c r="E13" s="83"/>
      <c r="F13" s="83"/>
      <c r="G13" s="70"/>
      <c r="H13" s="83"/>
      <c r="I13" s="70"/>
      <c r="J13" s="75"/>
      <c r="K13" s="70"/>
      <c r="L13" s="75"/>
      <c r="M13" s="70"/>
      <c r="N13" s="75"/>
      <c r="O13" s="70"/>
      <c r="P13" s="70"/>
      <c r="Q13" s="70"/>
      <c r="R13" s="70"/>
      <c r="S13" s="70"/>
      <c r="T13" s="70"/>
      <c r="U13" s="70"/>
    </row>
    <row r="14" spans="1:21" ht="20.149999999999999" customHeight="1" x14ac:dyDescent="0.25">
      <c r="A14" s="70"/>
      <c r="B14" s="83"/>
      <c r="C14" s="83"/>
      <c r="D14" s="83"/>
      <c r="E14" s="83"/>
      <c r="F14" s="83"/>
      <c r="G14" s="70"/>
      <c r="H14" s="83"/>
      <c r="I14" s="70"/>
      <c r="J14" s="77"/>
      <c r="K14" s="70"/>
      <c r="L14" s="77"/>
      <c r="M14" s="70"/>
      <c r="N14" s="77"/>
      <c r="O14" s="70"/>
      <c r="P14" s="70"/>
      <c r="Q14" s="70"/>
      <c r="R14" s="70"/>
      <c r="S14" s="70"/>
      <c r="T14" s="70"/>
      <c r="U14" s="70"/>
    </row>
    <row r="15" spans="1:21" ht="30" customHeight="1" x14ac:dyDescent="0.25">
      <c r="A15" s="70"/>
      <c r="B15" s="72" t="s">
        <v>34</v>
      </c>
      <c r="C15" s="70"/>
      <c r="D15" s="73" t="s">
        <v>35</v>
      </c>
      <c r="E15" s="71"/>
      <c r="F15" s="73" t="s">
        <v>36</v>
      </c>
      <c r="G15" s="70"/>
      <c r="H15" s="83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</row>
    <row r="16" spans="1:21" ht="30" customHeight="1" x14ac:dyDescent="0.25">
      <c r="A16" s="70"/>
      <c r="B16" s="3"/>
      <c r="C16" s="70"/>
      <c r="D16" s="4">
        <f>ROUND(B16*0.006,3)</f>
        <v>0</v>
      </c>
      <c r="E16" s="71"/>
      <c r="F16" s="4">
        <f>ROUND(B16*0.1232067,2)</f>
        <v>0</v>
      </c>
      <c r="G16" s="70"/>
      <c r="H16" s="83"/>
      <c r="I16" s="70"/>
      <c r="J16" s="75"/>
      <c r="K16" s="70"/>
      <c r="L16" s="75"/>
      <c r="M16" s="70"/>
      <c r="N16" s="75"/>
      <c r="O16" s="70"/>
      <c r="P16" s="70"/>
      <c r="Q16" s="70"/>
      <c r="R16" s="70"/>
      <c r="S16" s="70"/>
      <c r="T16" s="70"/>
      <c r="U16" s="70"/>
    </row>
    <row r="17" spans="1:21" ht="25" customHeight="1" x14ac:dyDescent="0.25">
      <c r="A17" s="70"/>
      <c r="B17" s="70"/>
      <c r="C17" s="70"/>
      <c r="D17" s="70"/>
      <c r="E17" s="70"/>
      <c r="F17" s="70"/>
      <c r="G17" s="70"/>
      <c r="H17" s="83"/>
      <c r="I17" s="70"/>
      <c r="J17" s="77"/>
      <c r="K17" s="70"/>
      <c r="L17" s="77"/>
      <c r="M17" s="70"/>
      <c r="N17" s="77"/>
      <c r="O17" s="70"/>
      <c r="P17" s="70"/>
      <c r="Q17" s="70"/>
      <c r="R17" s="70"/>
      <c r="S17" s="70"/>
      <c r="T17" s="70"/>
      <c r="U17" s="70"/>
    </row>
    <row r="18" spans="1:21" ht="30" customHeight="1" x14ac:dyDescent="0.25">
      <c r="A18" s="70"/>
      <c r="B18" s="72" t="s">
        <v>35</v>
      </c>
      <c r="C18" s="70"/>
      <c r="D18" s="73" t="s">
        <v>34</v>
      </c>
      <c r="E18" s="70"/>
      <c r="F18" s="73" t="s">
        <v>36</v>
      </c>
      <c r="G18" s="70"/>
      <c r="H18" s="83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</row>
    <row r="19" spans="1:21" ht="30" customHeight="1" x14ac:dyDescent="0.25">
      <c r="A19" s="70"/>
      <c r="B19" s="3"/>
      <c r="C19" s="70"/>
      <c r="D19" s="5">
        <f>ROUND(B19*166.6666667,2)</f>
        <v>0</v>
      </c>
      <c r="E19" s="70"/>
      <c r="F19" s="5">
        <f>ROUND(B19*20.5344453,2)</f>
        <v>0</v>
      </c>
      <c r="G19" s="70"/>
      <c r="H19" s="83"/>
      <c r="I19" s="70"/>
      <c r="J19" s="75"/>
      <c r="K19" s="70"/>
      <c r="L19" s="75"/>
      <c r="M19" s="70"/>
      <c r="N19" s="75"/>
      <c r="O19" s="70"/>
      <c r="P19" s="70"/>
      <c r="Q19" s="70"/>
      <c r="R19" s="70"/>
      <c r="S19" s="70"/>
      <c r="T19" s="70"/>
      <c r="U19" s="70"/>
    </row>
    <row r="20" spans="1:21" ht="25" customHeight="1" x14ac:dyDescent="0.25">
      <c r="A20" s="70"/>
      <c r="B20" s="70"/>
      <c r="C20" s="70"/>
      <c r="D20" s="70"/>
      <c r="E20" s="70"/>
      <c r="F20" s="70"/>
      <c r="G20" s="70"/>
      <c r="H20" s="83"/>
      <c r="I20" s="70"/>
      <c r="J20" s="77"/>
      <c r="K20" s="70"/>
      <c r="L20" s="77"/>
      <c r="M20" s="70"/>
      <c r="N20" s="77"/>
      <c r="O20" s="70"/>
      <c r="P20" s="70"/>
      <c r="Q20" s="70"/>
      <c r="R20" s="70"/>
      <c r="S20" s="70"/>
      <c r="T20" s="70"/>
      <c r="U20" s="70"/>
    </row>
    <row r="21" spans="1:21" ht="30" customHeight="1" x14ac:dyDescent="0.25">
      <c r="A21" s="70"/>
      <c r="B21" s="72" t="s">
        <v>36</v>
      </c>
      <c r="C21" s="70"/>
      <c r="D21" s="73" t="s">
        <v>34</v>
      </c>
      <c r="E21" s="70"/>
      <c r="F21" s="73" t="s">
        <v>35</v>
      </c>
      <c r="G21" s="70"/>
      <c r="H21" s="83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</row>
    <row r="22" spans="1:21" ht="30" customHeight="1" x14ac:dyDescent="0.25">
      <c r="A22" s="70"/>
      <c r="B22" s="3"/>
      <c r="C22" s="70"/>
      <c r="D22" s="5">
        <f>ROUND(B22*8.1164436,2)</f>
        <v>0</v>
      </c>
      <c r="E22" s="70"/>
      <c r="F22" s="5">
        <f>ROUND(B22*0.0486987,2)</f>
        <v>0</v>
      </c>
      <c r="G22" s="70"/>
      <c r="H22" s="83"/>
      <c r="I22" s="70"/>
      <c r="J22" s="75"/>
      <c r="K22" s="70"/>
      <c r="L22" s="75"/>
      <c r="M22" s="70"/>
      <c r="N22" s="75"/>
      <c r="O22" s="70"/>
      <c r="P22" s="70"/>
      <c r="Q22" s="70"/>
      <c r="R22" s="70"/>
      <c r="S22" s="70"/>
      <c r="T22" s="70"/>
      <c r="U22" s="70"/>
    </row>
    <row r="23" spans="1:21" ht="25" customHeight="1" x14ac:dyDescent="0.25">
      <c r="A23" s="70"/>
      <c r="B23" s="83"/>
      <c r="C23" s="83"/>
      <c r="D23" s="83"/>
      <c r="E23" s="83"/>
      <c r="F23" s="83"/>
      <c r="G23" s="70"/>
      <c r="H23" s="83"/>
      <c r="I23" s="70"/>
      <c r="J23" s="77"/>
      <c r="K23" s="70"/>
      <c r="L23" s="77"/>
      <c r="M23" s="70"/>
      <c r="N23" s="77"/>
      <c r="O23" s="70"/>
      <c r="P23" s="70"/>
      <c r="Q23" s="70"/>
      <c r="R23" s="70"/>
      <c r="S23" s="70"/>
      <c r="T23" s="70"/>
      <c r="U23" s="70"/>
    </row>
    <row r="24" spans="1:21" x14ac:dyDescent="0.35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</row>
    <row r="25" spans="1:21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</row>
    <row r="26" spans="1:21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  <row r="27" spans="1:21" x14ac:dyDescent="0.3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</row>
    <row r="28" spans="1:21" x14ac:dyDescent="0.3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</row>
    <row r="29" spans="1:21" x14ac:dyDescent="0.3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</row>
    <row r="30" spans="1:21" x14ac:dyDescent="0.3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</row>
    <row r="31" spans="1:21" x14ac:dyDescent="0.3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</row>
    <row r="32" spans="1:21" x14ac:dyDescent="0.3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</row>
    <row r="33" spans="1:21" x14ac:dyDescent="0.3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</row>
    <row r="34" spans="1:21" x14ac:dyDescent="0.3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</row>
  </sheetData>
  <hyperlinks>
    <hyperlink ref="H2" location="Cockpit!A1" display="HOME" xr:uid="{3DCD105B-9B4D-4E0A-9C8A-0DA513DE48F6}"/>
  </hyperlinks>
  <pageMargins left="1" right="1" top="1" bottom="1" header="0.5" footer="0.5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Cockpit</vt:lpstr>
      <vt:lpstr>Volume</vt:lpstr>
      <vt:lpstr>Pressure</vt:lpstr>
      <vt:lpstr>Density</vt:lpstr>
      <vt:lpstr>Weight</vt:lpstr>
      <vt:lpstr>Energy - O&amp;G</vt:lpstr>
      <vt:lpstr>Flowrate - Mass</vt:lpstr>
      <vt:lpstr>Flowrate - Volume</vt:lpstr>
      <vt:lpstr>Gas conversions</vt:lpstr>
      <vt:lpstr>Fluid Conversions</vt:lpstr>
      <vt:lpstr>Production Conversions</vt:lpstr>
      <vt:lpstr>Energy Conversions</vt:lpstr>
      <vt:lpstr>Prices - Energy to Energy</vt:lpstr>
      <vt:lpstr>Energy to Volume</vt:lpstr>
      <vt:lpstr>Volume to Energy</vt:lpstr>
      <vt:lpstr>Prices Energy to Volume</vt:lpstr>
      <vt:lpstr>Prices Volume to Energy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Chris Starling</cp:lastModifiedBy>
  <cp:lastPrinted>2018-11-05T13:18:43Z</cp:lastPrinted>
  <dcterms:created xsi:type="dcterms:W3CDTF">2018-10-20T17:39:57Z</dcterms:created>
  <dcterms:modified xsi:type="dcterms:W3CDTF">2023-04-16T10:18:56Z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7c443-b285-47eb-83a3-cf52fc4c5b06_Enabled">
    <vt:lpwstr>true</vt:lpwstr>
  </property>
  <property fmtid="{D5CDD505-2E9C-101B-9397-08002B2CF9AE}" pid="3" name="MSIP_Label_2457c443-b285-47eb-83a3-cf52fc4c5b06_SetDate">
    <vt:lpwstr>2023-04-16T10:18:41Z</vt:lpwstr>
  </property>
  <property fmtid="{D5CDD505-2E9C-101B-9397-08002B2CF9AE}" pid="4" name="MSIP_Label_2457c443-b285-47eb-83a3-cf52fc4c5b06_Method">
    <vt:lpwstr>Standard</vt:lpwstr>
  </property>
  <property fmtid="{D5CDD505-2E9C-101B-9397-08002B2CF9AE}" pid="5" name="MSIP_Label_2457c443-b285-47eb-83a3-cf52fc4c5b06_Name">
    <vt:lpwstr>Client</vt:lpwstr>
  </property>
  <property fmtid="{D5CDD505-2E9C-101B-9397-08002B2CF9AE}" pid="6" name="MSIP_Label_2457c443-b285-47eb-83a3-cf52fc4c5b06_SiteId">
    <vt:lpwstr>f8061870-114d-44f2-9315-cc9a39f3630a</vt:lpwstr>
  </property>
  <property fmtid="{D5CDD505-2E9C-101B-9397-08002B2CF9AE}" pid="7" name="MSIP_Label_2457c443-b285-47eb-83a3-cf52fc4c5b06_ActionId">
    <vt:lpwstr>ec4b1aa3-94f0-433f-9a6f-80427f4810c0</vt:lpwstr>
  </property>
  <property fmtid="{D5CDD505-2E9C-101B-9397-08002B2CF9AE}" pid="8" name="MSIP_Label_2457c443-b285-47eb-83a3-cf52fc4c5b06_ContentBits">
    <vt:lpwstr>0</vt:lpwstr>
  </property>
</Properties>
</file>